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2.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dnbcgovco-my.sharepoint.com/personal/adriana_moreno_dnbc_gov_co/Documents/1. PLANEACION ESTRATÉGICA/DNBC/2025/ITA/Nueva carpeta/"/>
    </mc:Choice>
  </mc:AlternateContent>
  <xr:revisionPtr revIDLastSave="0" documentId="8_{F50BD9CB-EB99-4D08-BA36-419ADF9C6F78}" xr6:coauthVersionLast="47" xr6:coauthVersionMax="47" xr10:uidLastSave="{00000000-0000-0000-0000-000000000000}"/>
  <bookViews>
    <workbookView xWindow="-120" yWindow="-120" windowWidth="29040" windowHeight="15720" firstSheet="1" activeTab="1" xr2:uid="{00000000-000D-0000-FFFF-FFFF00000000}"/>
  </bookViews>
  <sheets>
    <sheet name="Hoja1" sheetId="12" state="hidden" r:id="rId1"/>
    <sheet name="PAI 2024 Consolidado" sheetId="1" r:id="rId2"/>
    <sheet name="LISTAS" sheetId="2" state="hidden" r:id="rId3"/>
    <sheet name="PAVACANTES" sheetId="5" state="hidden" r:id="rId4"/>
    <sheet name="P.PREVISIÓN" sheetId="6" state="hidden" r:id="rId5"/>
    <sheet name="P.ESTRATEGICO" sheetId="7" state="hidden" r:id="rId6"/>
    <sheet name="P.BIENESTAR" sheetId="8" state="hidden" r:id="rId7"/>
    <sheet name="PIC" sheetId="9" state="hidden" r:id="rId8"/>
    <sheet name="PIC AJUSTADO" sheetId="13" state="hidden" r:id="rId9"/>
    <sheet name="SST" sheetId="11" state="hidden" r:id="rId10"/>
    <sheet name="Anexo_Gestión Conocimiento 2024" sheetId="4" state="hidden" r:id="rId11"/>
  </sheets>
  <externalReferences>
    <externalReference r:id="rId12"/>
    <externalReference r:id="rId13"/>
  </externalReferences>
  <definedNames>
    <definedName name="_xlnm._FilterDatabase" localSheetId="1" hidden="1">'PAI 2024 Consolidado'!$A$7:$KQ$280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4" i="1" l="1"/>
  <c r="AC4" i="1"/>
  <c r="AD4" i="1"/>
  <c r="AE4" i="1"/>
  <c r="P113" i="1"/>
  <c r="BV280" i="1" l="1"/>
  <c r="BV279" i="1"/>
  <c r="BV278" i="1"/>
  <c r="BV277" i="1"/>
  <c r="BV276" i="1"/>
  <c r="BV275" i="1"/>
  <c r="BV274" i="1"/>
  <c r="BV269" i="1"/>
  <c r="BV171" i="1"/>
  <c r="BV159" i="1"/>
  <c r="BV158" i="1"/>
  <c r="BV157" i="1"/>
  <c r="BV156" i="1"/>
  <c r="BV155" i="1"/>
  <c r="BV154" i="1"/>
  <c r="BV153" i="1"/>
  <c r="BV152" i="1"/>
  <c r="BV151" i="1"/>
  <c r="BV149" i="1"/>
  <c r="BV147" i="1"/>
  <c r="BV146" i="1"/>
  <c r="BV145" i="1"/>
  <c r="BV143" i="1"/>
  <c r="BV142" i="1"/>
  <c r="BV140" i="1"/>
  <c r="BV139" i="1"/>
  <c r="BV138" i="1"/>
  <c r="BV137" i="1"/>
  <c r="BV43" i="1"/>
  <c r="BV42" i="1"/>
  <c r="BV41" i="1"/>
  <c r="BV40" i="1"/>
  <c r="BV39" i="1"/>
  <c r="BV38" i="1"/>
  <c r="BV37" i="1"/>
  <c r="BV25" i="1"/>
  <c r="CD280" i="1"/>
  <c r="CD278" i="1"/>
  <c r="CD277" i="1"/>
  <c r="CD276" i="1"/>
  <c r="CD275" i="1"/>
  <c r="CD274" i="1"/>
  <c r="CD273" i="1"/>
  <c r="CD272" i="1"/>
  <c r="CD271" i="1"/>
  <c r="CD270" i="1"/>
  <c r="CD269" i="1"/>
  <c r="CD268" i="1"/>
  <c r="CD266" i="1"/>
  <c r="CD265" i="1"/>
  <c r="CD264" i="1"/>
  <c r="CD263" i="1"/>
  <c r="CD262" i="1"/>
  <c r="CD261" i="1"/>
  <c r="CD260" i="1"/>
  <c r="CD259" i="1"/>
  <c r="CD258" i="1"/>
  <c r="CD257" i="1"/>
  <c r="CD254" i="1"/>
  <c r="CD253" i="1"/>
  <c r="CD252" i="1"/>
  <c r="CD251" i="1"/>
  <c r="CD250" i="1"/>
  <c r="CD249" i="1"/>
  <c r="CD248" i="1"/>
  <c r="CD247" i="1"/>
  <c r="CD246" i="1"/>
  <c r="CD244" i="1"/>
  <c r="CD242" i="1"/>
  <c r="CD241" i="1"/>
  <c r="CD240" i="1"/>
  <c r="CD239" i="1"/>
  <c r="CD238" i="1"/>
  <c r="CD237" i="1"/>
  <c r="CD236" i="1"/>
  <c r="CD235" i="1"/>
  <c r="CD234" i="1"/>
  <c r="CD233" i="1"/>
  <c r="CD232" i="1"/>
  <c r="CD231" i="1"/>
  <c r="CD230" i="1"/>
  <c r="CD229" i="1"/>
  <c r="CD227" i="1"/>
  <c r="CD226" i="1"/>
  <c r="CD225" i="1"/>
  <c r="CD224" i="1"/>
  <c r="CD223" i="1"/>
  <c r="CD222" i="1"/>
  <c r="CD221" i="1"/>
  <c r="CD220" i="1"/>
  <c r="CD219" i="1"/>
  <c r="CD218" i="1"/>
  <c r="CD217" i="1"/>
  <c r="CD215" i="1"/>
  <c r="CD214" i="1"/>
  <c r="CD213" i="1"/>
  <c r="CD212" i="1"/>
  <c r="CD211" i="1"/>
  <c r="CD210" i="1"/>
  <c r="CD209" i="1"/>
  <c r="CD208" i="1"/>
  <c r="CD202" i="1"/>
  <c r="CD201" i="1"/>
  <c r="CD200" i="1"/>
  <c r="CD199" i="1"/>
  <c r="CD197" i="1"/>
  <c r="CD195" i="1"/>
  <c r="CD194" i="1"/>
  <c r="CD193" i="1"/>
  <c r="CD192" i="1"/>
  <c r="CD191" i="1"/>
  <c r="CD190" i="1"/>
  <c r="CD189" i="1"/>
  <c r="CD188" i="1"/>
  <c r="CD187" i="1"/>
  <c r="CD186" i="1"/>
  <c r="CD185" i="1"/>
  <c r="CD184" i="1"/>
  <c r="CD182" i="1"/>
  <c r="CD181" i="1"/>
  <c r="CD180" i="1"/>
  <c r="CD179" i="1"/>
  <c r="CD178" i="1"/>
  <c r="CD177" i="1"/>
  <c r="CD176" i="1"/>
  <c r="CD175" i="1"/>
  <c r="CD174" i="1"/>
  <c r="CD172" i="1"/>
  <c r="CD171" i="1"/>
  <c r="CD170" i="1"/>
  <c r="CD169" i="1"/>
  <c r="CD168" i="1"/>
  <c r="CD165" i="1"/>
  <c r="CD164" i="1"/>
  <c r="CD163" i="1"/>
  <c r="CD162" i="1"/>
  <c r="CD161" i="1"/>
  <c r="CD160" i="1"/>
  <c r="CD159" i="1"/>
  <c r="CD157" i="1"/>
  <c r="CD156" i="1"/>
  <c r="CD155" i="1"/>
  <c r="CD154" i="1"/>
  <c r="CD153" i="1"/>
  <c r="CD152" i="1"/>
  <c r="CD151" i="1"/>
  <c r="CD150" i="1"/>
  <c r="CD149" i="1"/>
  <c r="CD148" i="1"/>
  <c r="CD147" i="1"/>
  <c r="CD146" i="1"/>
  <c r="CD145" i="1"/>
  <c r="CD144" i="1"/>
  <c r="CD143" i="1"/>
  <c r="CD140" i="1"/>
  <c r="CD139" i="1"/>
  <c r="CD138" i="1"/>
  <c r="CD137" i="1"/>
  <c r="CD136" i="1"/>
  <c r="CD135" i="1"/>
  <c r="CD134" i="1"/>
  <c r="CD133" i="1"/>
  <c r="CD132" i="1"/>
  <c r="CD131" i="1"/>
  <c r="CD130" i="1"/>
  <c r="CD129" i="1"/>
  <c r="CD127" i="1"/>
  <c r="CD126" i="1"/>
  <c r="CD125" i="1"/>
  <c r="CD124" i="1"/>
  <c r="CD123" i="1"/>
  <c r="CD122" i="1"/>
  <c r="CD121" i="1"/>
  <c r="CD120" i="1"/>
  <c r="CD119" i="1"/>
  <c r="CD118" i="1"/>
  <c r="CD117" i="1"/>
  <c r="CD116" i="1"/>
  <c r="CD115" i="1"/>
  <c r="CD114" i="1"/>
  <c r="CD113" i="1"/>
  <c r="CD112" i="1"/>
  <c r="CD110" i="1"/>
  <c r="CD109" i="1"/>
  <c r="CD108" i="1"/>
  <c r="CD107" i="1"/>
  <c r="CD106" i="1"/>
  <c r="CD105" i="1"/>
  <c r="CD104" i="1"/>
  <c r="CD103" i="1"/>
  <c r="CD102" i="1"/>
  <c r="CD101" i="1"/>
  <c r="CD100" i="1"/>
  <c r="CD99" i="1"/>
  <c r="CD98" i="1"/>
  <c r="CD97" i="1"/>
  <c r="CD96" i="1"/>
  <c r="CD93" i="1"/>
  <c r="CD92" i="1"/>
  <c r="CD91" i="1"/>
  <c r="CD90" i="1"/>
  <c r="CD89" i="1"/>
  <c r="CD88" i="1"/>
  <c r="CD87" i="1"/>
  <c r="CD86" i="1"/>
  <c r="CD85" i="1"/>
  <c r="CD84" i="1"/>
  <c r="CD82" i="1"/>
  <c r="CD81" i="1"/>
  <c r="CD80" i="1"/>
  <c r="CD79" i="1"/>
  <c r="CD78" i="1"/>
  <c r="CD77" i="1"/>
  <c r="CD76" i="1"/>
  <c r="CD75" i="1"/>
  <c r="CD74" i="1"/>
  <c r="CD73" i="1"/>
  <c r="CD72" i="1"/>
  <c r="CD71" i="1"/>
  <c r="CD70" i="1"/>
  <c r="CD67" i="1"/>
  <c r="CD66" i="1"/>
  <c r="CD65" i="1"/>
  <c r="CD64" i="1"/>
  <c r="CD63" i="1"/>
  <c r="CD62" i="1"/>
  <c r="CD60" i="1"/>
  <c r="CD59" i="1"/>
  <c r="CD58" i="1"/>
  <c r="CD57" i="1"/>
  <c r="CD55" i="1"/>
  <c r="CD54" i="1"/>
  <c r="CD53" i="1"/>
  <c r="CD52" i="1"/>
  <c r="CD51" i="1"/>
  <c r="CD50" i="1"/>
  <c r="CD49" i="1"/>
  <c r="CD48" i="1"/>
  <c r="CD47" i="1"/>
  <c r="CD46" i="1"/>
  <c r="CD45" i="1"/>
  <c r="CD44" i="1"/>
  <c r="CD43" i="1"/>
  <c r="CD41" i="1"/>
  <c r="CD40" i="1"/>
  <c r="CD39" i="1"/>
  <c r="CD38" i="1"/>
  <c r="CD37" i="1"/>
  <c r="CD36" i="1"/>
  <c r="CD35" i="1"/>
  <c r="CD34" i="1"/>
  <c r="CD33" i="1"/>
  <c r="CD30" i="1"/>
  <c r="CD25" i="1"/>
  <c r="CD24" i="1"/>
  <c r="CD21" i="1"/>
  <c r="CD20" i="1"/>
  <c r="CD18" i="1"/>
  <c r="CD17" i="1"/>
  <c r="CD16" i="1"/>
  <c r="CD15" i="1"/>
  <c r="CD14" i="1"/>
  <c r="CD13" i="1"/>
  <c r="CD12" i="1"/>
  <c r="CD11" i="1"/>
  <c r="CD10" i="1"/>
  <c r="CD9" i="1"/>
  <c r="CD8" i="1"/>
  <c r="BR167" i="1" l="1"/>
  <c r="BR166" i="1"/>
  <c r="BR165" i="1"/>
  <c r="BR164" i="1"/>
  <c r="BU280" i="1" l="1"/>
  <c r="BU279" i="1"/>
  <c r="BU278" i="1"/>
  <c r="BU277" i="1"/>
  <c r="BU276" i="1"/>
  <c r="BU275" i="1"/>
  <c r="BU274" i="1"/>
  <c r="BU269" i="1"/>
  <c r="BU268" i="1"/>
  <c r="BU267" i="1"/>
  <c r="BU266" i="1"/>
  <c r="BU265" i="1"/>
  <c r="BU264" i="1"/>
  <c r="BU263" i="1"/>
  <c r="BU262" i="1"/>
  <c r="BU261" i="1"/>
  <c r="BU258" i="1"/>
  <c r="BU257" i="1"/>
  <c r="BU256" i="1"/>
  <c r="BU255" i="1"/>
  <c r="BU254" i="1"/>
  <c r="BU253" i="1"/>
  <c r="BU252" i="1"/>
  <c r="BU251" i="1"/>
  <c r="BU247" i="1"/>
  <c r="BU245" i="1"/>
  <c r="BU244" i="1"/>
  <c r="BU243" i="1"/>
  <c r="BU242" i="1"/>
  <c r="BU241" i="1"/>
  <c r="BU240" i="1"/>
  <c r="BU239" i="1"/>
  <c r="BU238" i="1"/>
  <c r="BU237" i="1"/>
  <c r="BU236" i="1"/>
  <c r="BU235" i="1"/>
  <c r="BU234" i="1"/>
  <c r="BU233" i="1"/>
  <c r="BU232" i="1"/>
  <c r="BU231" i="1"/>
  <c r="BU230" i="1"/>
  <c r="BU229" i="1"/>
  <c r="BU228" i="1"/>
  <c r="BU227" i="1"/>
  <c r="BU226" i="1"/>
  <c r="BU225" i="1"/>
  <c r="BU224" i="1"/>
  <c r="BU223" i="1"/>
  <c r="BU222" i="1"/>
  <c r="BU221" i="1"/>
  <c r="BU217" i="1"/>
  <c r="BU216" i="1"/>
  <c r="BU215" i="1"/>
  <c r="BU214" i="1"/>
  <c r="BU213" i="1"/>
  <c r="BU212" i="1"/>
  <c r="BU211" i="1"/>
  <c r="BU207" i="1"/>
  <c r="BU203" i="1"/>
  <c r="BU200" i="1"/>
  <c r="BU197" i="1"/>
  <c r="BU195" i="1"/>
  <c r="BU194" i="1"/>
  <c r="BU193" i="1"/>
  <c r="BU192" i="1"/>
  <c r="BU191" i="1"/>
  <c r="BU190" i="1"/>
  <c r="BU188" i="1"/>
  <c r="BU184" i="1"/>
  <c r="BU183" i="1"/>
  <c r="BU182" i="1"/>
  <c r="BU181" i="1"/>
  <c r="BU180" i="1"/>
  <c r="BU179" i="1"/>
  <c r="BU178" i="1"/>
  <c r="BU174" i="1"/>
  <c r="BU172" i="1"/>
  <c r="BU171" i="1"/>
  <c r="BU170" i="1"/>
  <c r="BU169" i="1"/>
  <c r="BU168" i="1"/>
  <c r="BU167" i="1"/>
  <c r="BU166" i="1"/>
  <c r="BU165" i="1"/>
  <c r="BU164" i="1"/>
  <c r="BU163" i="1"/>
  <c r="BU162" i="1"/>
  <c r="BU160" i="1"/>
  <c r="BU159" i="1"/>
  <c r="BU158" i="1"/>
  <c r="BU157" i="1"/>
  <c r="BU156" i="1"/>
  <c r="BU155" i="1"/>
  <c r="BU154" i="1"/>
  <c r="BU153" i="1"/>
  <c r="BU152" i="1"/>
  <c r="BU151" i="1"/>
  <c r="BU149" i="1"/>
  <c r="BU147" i="1"/>
  <c r="BU146" i="1"/>
  <c r="BU145" i="1"/>
  <c r="BU143" i="1"/>
  <c r="BU142" i="1"/>
  <c r="BU141" i="1"/>
  <c r="BU140" i="1"/>
  <c r="BU139" i="1"/>
  <c r="BU138" i="1"/>
  <c r="BU137" i="1"/>
  <c r="BU129" i="1"/>
  <c r="BU128" i="1"/>
  <c r="BU127" i="1"/>
  <c r="BU126" i="1"/>
  <c r="BU125" i="1"/>
  <c r="BU124" i="1"/>
  <c r="BU123" i="1"/>
  <c r="BU119" i="1"/>
  <c r="BU112" i="1"/>
  <c r="BU111" i="1"/>
  <c r="BU110" i="1"/>
  <c r="BU109" i="1"/>
  <c r="BU108" i="1"/>
  <c r="BU107" i="1"/>
  <c r="BU106" i="1"/>
  <c r="BU96" i="1"/>
  <c r="BU95" i="1"/>
  <c r="BU94" i="1"/>
  <c r="BU93" i="1"/>
  <c r="BU92" i="1"/>
  <c r="BU91" i="1"/>
  <c r="BU90" i="1"/>
  <c r="BU84" i="1"/>
  <c r="BU83" i="1"/>
  <c r="BU82" i="1"/>
  <c r="BU81" i="1"/>
  <c r="BU80" i="1"/>
  <c r="BU79" i="1"/>
  <c r="BU78" i="1"/>
  <c r="BU76" i="1"/>
  <c r="BU74" i="1"/>
  <c r="BU70" i="1"/>
  <c r="BU69" i="1"/>
  <c r="BU68" i="1"/>
  <c r="BU67" i="1"/>
  <c r="BU66" i="1"/>
  <c r="BU65" i="1"/>
  <c r="BU60" i="1"/>
  <c r="BU59" i="1"/>
  <c r="BU58" i="1"/>
  <c r="BU57" i="1"/>
  <c r="BU56" i="1"/>
  <c r="BU55" i="1"/>
  <c r="BU54" i="1"/>
  <c r="BU53" i="1"/>
  <c r="BU52" i="1"/>
  <c r="BU51" i="1"/>
  <c r="BU50" i="1"/>
  <c r="BU49" i="1"/>
  <c r="BU48" i="1"/>
  <c r="BU47" i="1"/>
  <c r="BU46" i="1"/>
  <c r="BU45" i="1"/>
  <c r="BU44" i="1"/>
  <c r="BU43" i="1"/>
  <c r="BU42" i="1"/>
  <c r="BU41" i="1"/>
  <c r="BU40" i="1"/>
  <c r="BU39" i="1"/>
  <c r="BU38" i="1"/>
  <c r="BU37" i="1"/>
  <c r="BU25" i="1"/>
  <c r="BU20" i="1"/>
  <c r="BU19" i="1"/>
  <c r="BU18" i="1"/>
  <c r="BU17" i="1"/>
  <c r="BU16" i="1"/>
  <c r="BU15" i="1"/>
  <c r="BU14" i="1"/>
  <c r="BU13" i="1"/>
  <c r="BU12" i="1"/>
  <c r="BU11" i="1"/>
  <c r="BU10" i="1"/>
  <c r="BU9" i="1"/>
  <c r="BU8" i="1"/>
  <c r="BR196" i="1" l="1"/>
  <c r="BU196" i="1" s="1"/>
  <c r="BR173" i="1"/>
  <c r="BU173" i="1" s="1"/>
  <c r="CC57" i="1"/>
  <c r="CB22" i="1"/>
  <c r="CB23" i="1"/>
  <c r="CB26" i="1"/>
  <c r="CB27" i="1"/>
  <c r="CB29" i="1"/>
  <c r="CB31" i="1"/>
  <c r="CB32" i="1"/>
  <c r="CA22" i="1"/>
  <c r="CA23" i="1"/>
  <c r="CA26" i="1"/>
  <c r="CA27" i="1"/>
  <c r="CA29" i="1"/>
  <c r="CA31" i="1"/>
  <c r="CA32" i="1"/>
  <c r="CA145" i="1"/>
  <c r="CA146" i="1"/>
  <c r="CA147" i="1"/>
  <c r="CA149" i="1"/>
  <c r="CA151" i="1"/>
  <c r="CA152" i="1"/>
  <c r="CA153" i="1"/>
  <c r="CA154" i="1"/>
  <c r="CA155" i="1"/>
  <c r="CA156" i="1"/>
  <c r="CA157" i="1"/>
  <c r="CA158" i="1"/>
  <c r="CA159" i="1"/>
  <c r="CA171" i="1"/>
  <c r="BZ22" i="1"/>
  <c r="BZ23" i="1"/>
  <c r="BZ26" i="1"/>
  <c r="BZ27" i="1"/>
  <c r="BZ29" i="1"/>
  <c r="BZ31" i="1"/>
  <c r="BZ32" i="1"/>
  <c r="BZ145" i="1"/>
  <c r="BZ146" i="1"/>
  <c r="BZ147" i="1"/>
  <c r="BZ149" i="1"/>
  <c r="BZ151" i="1"/>
  <c r="BZ152" i="1"/>
  <c r="BZ153" i="1"/>
  <c r="BZ154" i="1"/>
  <c r="BZ155" i="1"/>
  <c r="BZ156" i="1"/>
  <c r="BZ157" i="1"/>
  <c r="BZ158" i="1"/>
  <c r="BZ159" i="1"/>
  <c r="BZ171" i="1"/>
  <c r="BY22" i="1"/>
  <c r="BY23" i="1"/>
  <c r="BY26" i="1"/>
  <c r="BY27" i="1"/>
  <c r="BY29" i="1"/>
  <c r="BY31" i="1"/>
  <c r="BY32" i="1"/>
  <c r="BY145" i="1"/>
  <c r="BY146" i="1"/>
  <c r="BY147" i="1"/>
  <c r="BY149" i="1"/>
  <c r="BY151" i="1"/>
  <c r="BY152" i="1"/>
  <c r="BY153" i="1"/>
  <c r="BY154" i="1"/>
  <c r="BY155" i="1"/>
  <c r="BY156" i="1"/>
  <c r="BY157" i="1"/>
  <c r="BY158" i="1"/>
  <c r="BY159" i="1"/>
  <c r="BY171" i="1"/>
  <c r="BX22" i="1"/>
  <c r="BX23" i="1"/>
  <c r="BX26" i="1"/>
  <c r="BX27" i="1"/>
  <c r="BX29" i="1"/>
  <c r="BX31" i="1"/>
  <c r="BX32" i="1"/>
  <c r="BX145" i="1"/>
  <c r="BX146" i="1"/>
  <c r="BX147" i="1"/>
  <c r="BX149" i="1"/>
  <c r="BX151" i="1"/>
  <c r="BX152" i="1"/>
  <c r="BX153" i="1"/>
  <c r="BX154" i="1"/>
  <c r="BX155" i="1"/>
  <c r="BX156" i="1"/>
  <c r="BX157" i="1"/>
  <c r="BX158" i="1"/>
  <c r="BX159" i="1"/>
  <c r="BX171" i="1"/>
  <c r="BQ4" i="1"/>
  <c r="BS4" i="1"/>
  <c r="BT4" i="1"/>
  <c r="BW4" i="1"/>
  <c r="CG4" i="1"/>
  <c r="CH4" i="1"/>
  <c r="CI4" i="1"/>
  <c r="CJ4" i="1"/>
  <c r="BR36" i="1" l="1"/>
  <c r="BR35" i="1"/>
  <c r="BR34" i="1"/>
  <c r="BR33" i="1"/>
  <c r="BR30" i="1"/>
  <c r="BR28" i="1"/>
  <c r="BR24" i="1"/>
  <c r="BR21" i="1"/>
  <c r="BR272" i="1"/>
  <c r="BR273" i="1"/>
  <c r="BR271" i="1"/>
  <c r="BR270" i="1"/>
  <c r="BR260" i="1"/>
  <c r="BU260" i="1" s="1"/>
  <c r="BR259" i="1"/>
  <c r="BU259" i="1" s="1"/>
  <c r="BR250" i="1"/>
  <c r="BU250" i="1" s="1"/>
  <c r="BR248" i="1"/>
  <c r="BU248" i="1" s="1"/>
  <c r="BR246" i="1"/>
  <c r="BU246" i="1" s="1"/>
  <c r="BR249" i="1"/>
  <c r="BU249" i="1" s="1"/>
  <c r="BR220" i="1"/>
  <c r="BU220" i="1" s="1"/>
  <c r="BR219" i="1"/>
  <c r="BU219" i="1" s="1"/>
  <c r="BR218" i="1"/>
  <c r="BU218" i="1" s="1"/>
  <c r="BR210" i="1"/>
  <c r="BU210" i="1" s="1"/>
  <c r="BR209" i="1"/>
  <c r="BU209" i="1" s="1"/>
  <c r="BR208" i="1"/>
  <c r="BU208" i="1" s="1"/>
  <c r="BR206" i="1"/>
  <c r="BU206" i="1" s="1"/>
  <c r="BR205" i="1"/>
  <c r="BU205" i="1" s="1"/>
  <c r="BR204" i="1"/>
  <c r="BU204" i="1" s="1"/>
  <c r="BR202" i="1"/>
  <c r="BU202" i="1" s="1"/>
  <c r="BR201" i="1"/>
  <c r="BU201" i="1" s="1"/>
  <c r="BR199" i="1"/>
  <c r="BU199" i="1" s="1"/>
  <c r="BR198" i="1"/>
  <c r="BU198" i="1" s="1"/>
  <c r="BR189" i="1"/>
  <c r="BU189" i="1" s="1"/>
  <c r="BR187" i="1"/>
  <c r="BU187" i="1" s="1"/>
  <c r="BR186" i="1"/>
  <c r="BU186" i="1" s="1"/>
  <c r="BR185" i="1"/>
  <c r="BU185" i="1" s="1"/>
  <c r="BR177" i="1"/>
  <c r="BU177" i="1" s="1"/>
  <c r="BR176" i="1"/>
  <c r="BU176" i="1" s="1"/>
  <c r="BR175" i="1"/>
  <c r="BU175" i="1" s="1"/>
  <c r="BR161" i="1"/>
  <c r="BU161" i="1" s="1"/>
  <c r="BP160" i="1"/>
  <c r="BV160" i="1" s="1"/>
  <c r="BP161" i="1"/>
  <c r="BP162" i="1"/>
  <c r="BV162" i="1" s="1"/>
  <c r="BP163" i="1"/>
  <c r="BV163" i="1" s="1"/>
  <c r="BP164" i="1"/>
  <c r="BV164" i="1" s="1"/>
  <c r="BP165" i="1"/>
  <c r="BV165" i="1" s="1"/>
  <c r="BP168" i="1"/>
  <c r="BV168" i="1" s="1"/>
  <c r="BP169" i="1"/>
  <c r="BV169" i="1" s="1"/>
  <c r="BP170" i="1"/>
  <c r="BV170" i="1" s="1"/>
  <c r="BP172" i="1"/>
  <c r="BV172" i="1" s="1"/>
  <c r="BP174" i="1"/>
  <c r="BV174" i="1" s="1"/>
  <c r="BP175" i="1"/>
  <c r="BP176" i="1"/>
  <c r="BP177" i="1"/>
  <c r="BR150" i="1"/>
  <c r="BR148" i="1"/>
  <c r="BR144" i="1"/>
  <c r="BV144" i="1" s="1"/>
  <c r="BR136" i="1"/>
  <c r="BV136" i="1" s="1"/>
  <c r="BR135" i="1"/>
  <c r="BV135" i="1" s="1"/>
  <c r="BR134" i="1"/>
  <c r="BR133" i="1"/>
  <c r="BR132" i="1"/>
  <c r="BR131" i="1"/>
  <c r="BR130" i="1"/>
  <c r="BV141" i="1"/>
  <c r="BR122" i="1"/>
  <c r="BU122" i="1" s="1"/>
  <c r="BR121" i="1"/>
  <c r="BU121" i="1" s="1"/>
  <c r="BR120" i="1"/>
  <c r="BU120" i="1" s="1"/>
  <c r="BR118" i="1"/>
  <c r="BU118" i="1" s="1"/>
  <c r="BR117" i="1"/>
  <c r="BU117" i="1" s="1"/>
  <c r="BR116" i="1"/>
  <c r="BU116" i="1" s="1"/>
  <c r="BR115" i="1"/>
  <c r="BU115" i="1" s="1"/>
  <c r="BR114" i="1"/>
  <c r="BU114" i="1" s="1"/>
  <c r="BR113" i="1"/>
  <c r="BU113" i="1" s="1"/>
  <c r="BR105" i="1"/>
  <c r="BU105" i="1" s="1"/>
  <c r="BR104" i="1"/>
  <c r="BU104" i="1" s="1"/>
  <c r="BR103" i="1"/>
  <c r="BU103" i="1" s="1"/>
  <c r="BR102" i="1"/>
  <c r="BU102" i="1" s="1"/>
  <c r="BR101" i="1"/>
  <c r="BU101" i="1" s="1"/>
  <c r="BR100" i="1"/>
  <c r="BU100" i="1" s="1"/>
  <c r="BR99" i="1"/>
  <c r="BU99" i="1" s="1"/>
  <c r="BR98" i="1"/>
  <c r="BU98" i="1" s="1"/>
  <c r="BR97" i="1"/>
  <c r="BU97" i="1" s="1"/>
  <c r="BR89" i="1"/>
  <c r="BU89" i="1" s="1"/>
  <c r="BR88" i="1"/>
  <c r="BU88" i="1" s="1"/>
  <c r="BR87" i="1"/>
  <c r="BU87" i="1" s="1"/>
  <c r="BR86" i="1"/>
  <c r="BU86" i="1" s="1"/>
  <c r="BR85" i="1"/>
  <c r="BU85" i="1" s="1"/>
  <c r="BR77" i="1"/>
  <c r="BU77" i="1" s="1"/>
  <c r="BR75" i="1"/>
  <c r="BU75" i="1" s="1"/>
  <c r="BR73" i="1"/>
  <c r="BU73" i="1" s="1"/>
  <c r="BR72" i="1"/>
  <c r="BU72" i="1" s="1"/>
  <c r="BR71" i="1"/>
  <c r="BU71" i="1" s="1"/>
  <c r="BR64" i="1"/>
  <c r="BU64" i="1" s="1"/>
  <c r="BR63" i="1"/>
  <c r="BR62" i="1"/>
  <c r="BU62" i="1" s="1"/>
  <c r="BU28" i="1" l="1"/>
  <c r="BV28" i="1"/>
  <c r="BU133" i="1"/>
  <c r="BV133" i="1"/>
  <c r="BY133" i="1" s="1"/>
  <c r="BX170" i="1"/>
  <c r="CA170" i="1"/>
  <c r="BY170" i="1"/>
  <c r="BZ170" i="1"/>
  <c r="BU21" i="1"/>
  <c r="BV21" i="1"/>
  <c r="BZ168" i="1"/>
  <c r="BX168" i="1"/>
  <c r="CA168" i="1"/>
  <c r="BY168" i="1"/>
  <c r="BU30" i="1"/>
  <c r="BV30" i="1"/>
  <c r="BU33" i="1"/>
  <c r="BV33" i="1"/>
  <c r="BU148" i="1"/>
  <c r="BV148" i="1"/>
  <c r="BV177" i="1"/>
  <c r="BU273" i="1"/>
  <c r="BV273" i="1"/>
  <c r="BY172" i="1"/>
  <c r="BX172" i="1"/>
  <c r="CA172" i="1"/>
  <c r="BZ172" i="1"/>
  <c r="BU130" i="1"/>
  <c r="BV130" i="1"/>
  <c r="BU34" i="1"/>
  <c r="BV34" i="1"/>
  <c r="BV176" i="1"/>
  <c r="BU271" i="1"/>
  <c r="BV271" i="1"/>
  <c r="BZ174" i="1"/>
  <c r="BX174" i="1"/>
  <c r="CA174" i="1"/>
  <c r="BY174" i="1"/>
  <c r="BY169" i="1"/>
  <c r="CA169" i="1"/>
  <c r="BZ169" i="1"/>
  <c r="BX169" i="1"/>
  <c r="BU24" i="1"/>
  <c r="BV24" i="1"/>
  <c r="BU131" i="1"/>
  <c r="BV131" i="1"/>
  <c r="BU35" i="1"/>
  <c r="BV35" i="1"/>
  <c r="BU134" i="1"/>
  <c r="BV134" i="1"/>
  <c r="BZ134" i="1" s="1"/>
  <c r="BU63" i="1"/>
  <c r="BV63" i="1"/>
  <c r="BU150" i="1"/>
  <c r="BV150" i="1"/>
  <c r="BU270" i="1"/>
  <c r="BV270" i="1"/>
  <c r="BV175" i="1"/>
  <c r="BZ175" i="1" s="1"/>
  <c r="BU272" i="1"/>
  <c r="BV272" i="1"/>
  <c r="BU132" i="1"/>
  <c r="BV132" i="1"/>
  <c r="BV161" i="1"/>
  <c r="BU36" i="1"/>
  <c r="BV36" i="1"/>
  <c r="BU135" i="1"/>
  <c r="BZ136" i="1"/>
  <c r="BU136" i="1"/>
  <c r="BZ144" i="1"/>
  <c r="BU144" i="1"/>
  <c r="BY165" i="1"/>
  <c r="BZ139" i="1"/>
  <c r="CA139" i="1"/>
  <c r="BY139" i="1"/>
  <c r="BX139" i="1"/>
  <c r="CA137" i="1"/>
  <c r="BZ137" i="1"/>
  <c r="BY137" i="1"/>
  <c r="BX137" i="1"/>
  <c r="BZ162" i="1"/>
  <c r="BY162" i="1"/>
  <c r="BX162" i="1"/>
  <c r="CA162" i="1"/>
  <c r="BZ142" i="1"/>
  <c r="CA142" i="1"/>
  <c r="BX142" i="1"/>
  <c r="BY142" i="1"/>
  <c r="CA140" i="1"/>
  <c r="BY140" i="1"/>
  <c r="BX140" i="1"/>
  <c r="BZ140" i="1"/>
  <c r="BY138" i="1"/>
  <c r="BX138" i="1"/>
  <c r="BZ138" i="1"/>
  <c r="CA138" i="1"/>
  <c r="BZ143" i="1"/>
  <c r="BX143" i="1"/>
  <c r="BY143" i="1"/>
  <c r="CA143" i="1"/>
  <c r="BY144" i="1"/>
  <c r="CA144" i="1"/>
  <c r="BX141" i="1"/>
  <c r="BY141" i="1"/>
  <c r="CA141" i="1"/>
  <c r="BZ141" i="1"/>
  <c r="BY135" i="1"/>
  <c r="BZ135" i="1"/>
  <c r="CA135" i="1"/>
  <c r="BX135" i="1"/>
  <c r="BY136" i="1"/>
  <c r="CA160" i="1"/>
  <c r="BY160" i="1"/>
  <c r="BX160" i="1"/>
  <c r="BZ160" i="1"/>
  <c r="BR61" i="1"/>
  <c r="BI17" i="1"/>
  <c r="BI20" i="1"/>
  <c r="BI24" i="1"/>
  <c r="BI28" i="1"/>
  <c r="BI30" i="1"/>
  <c r="BI34" i="1"/>
  <c r="BI35" i="1"/>
  <c r="BI36" i="1"/>
  <c r="BI38" i="1"/>
  <c r="BI40" i="1"/>
  <c r="BI41" i="1"/>
  <c r="BI42" i="1"/>
  <c r="BI46" i="1"/>
  <c r="BI48" i="1"/>
  <c r="BI50" i="1"/>
  <c r="BI54" i="1"/>
  <c r="BI57" i="1"/>
  <c r="BI60" i="1"/>
  <c r="BI67" i="1"/>
  <c r="BI68" i="1"/>
  <c r="BI69" i="1"/>
  <c r="BI70" i="1"/>
  <c r="BI73" i="1"/>
  <c r="BI74" i="1"/>
  <c r="BI75" i="1"/>
  <c r="BI76" i="1"/>
  <c r="BI77" i="1"/>
  <c r="BI78" i="1"/>
  <c r="BI79" i="1"/>
  <c r="BI80" i="1"/>
  <c r="BI81" i="1"/>
  <c r="BI82" i="1"/>
  <c r="BI83" i="1"/>
  <c r="BI84" i="1"/>
  <c r="BI85" i="1"/>
  <c r="BI91" i="1"/>
  <c r="BI92" i="1"/>
  <c r="BI93" i="1"/>
  <c r="BI94" i="1"/>
  <c r="BI95" i="1"/>
  <c r="BI96" i="1"/>
  <c r="BI98" i="1"/>
  <c r="BI100" i="1"/>
  <c r="BI103" i="1"/>
  <c r="BI108" i="1"/>
  <c r="BI109" i="1"/>
  <c r="BI110" i="1"/>
  <c r="BI112" i="1"/>
  <c r="BI113" i="1"/>
  <c r="BI117" i="1"/>
  <c r="BI118" i="1"/>
  <c r="BI119" i="1"/>
  <c r="BI123" i="1"/>
  <c r="BI124" i="1"/>
  <c r="BI126" i="1"/>
  <c r="BI128" i="1"/>
  <c r="BI129" i="1"/>
  <c r="BI130" i="1"/>
  <c r="BI133" i="1"/>
  <c r="BI135" i="1"/>
  <c r="BI136" i="1"/>
  <c r="BI143" i="1"/>
  <c r="BI146" i="1"/>
  <c r="BI147" i="1"/>
  <c r="BI151" i="1"/>
  <c r="BI153" i="1"/>
  <c r="BI155" i="1"/>
  <c r="BI156" i="1"/>
  <c r="BI158" i="1"/>
  <c r="BI159" i="1"/>
  <c r="BI162" i="1"/>
  <c r="BI163" i="1"/>
  <c r="BI167" i="1"/>
  <c r="BI168" i="1"/>
  <c r="BI169" i="1"/>
  <c r="BI170" i="1"/>
  <c r="BI171" i="1"/>
  <c r="BI172" i="1"/>
  <c r="BI173" i="1"/>
  <c r="BI174" i="1"/>
  <c r="BI176" i="1"/>
  <c r="BI177" i="1"/>
  <c r="BI179" i="1"/>
  <c r="BI180" i="1"/>
  <c r="BI181" i="1"/>
  <c r="BI182" i="1"/>
  <c r="BI183" i="1"/>
  <c r="BI184" i="1"/>
  <c r="BI185" i="1"/>
  <c r="BI194" i="1"/>
  <c r="BI195" i="1"/>
  <c r="BI196" i="1"/>
  <c r="BI197" i="1"/>
  <c r="BI198" i="1"/>
  <c r="BI200" i="1"/>
  <c r="BI204" i="1"/>
  <c r="BI209" i="1"/>
  <c r="BI212" i="1"/>
  <c r="BI213" i="1"/>
  <c r="BI214" i="1"/>
  <c r="BI216" i="1"/>
  <c r="BI217" i="1"/>
  <c r="BI218" i="1"/>
  <c r="BI219" i="1"/>
  <c r="BI220" i="1"/>
  <c r="BI221" i="1"/>
  <c r="BI222" i="1"/>
  <c r="BI223" i="1"/>
  <c r="BI224" i="1"/>
  <c r="BI225" i="1"/>
  <c r="BI226" i="1"/>
  <c r="BI227" i="1"/>
  <c r="BI228" i="1"/>
  <c r="BI229" i="1"/>
  <c r="BI230" i="1"/>
  <c r="BI232" i="1"/>
  <c r="BI233" i="1"/>
  <c r="BI234" i="1"/>
  <c r="BI235" i="1"/>
  <c r="BI236" i="1"/>
  <c r="BI237" i="1"/>
  <c r="BI238" i="1"/>
  <c r="BI239" i="1"/>
  <c r="BI240" i="1"/>
  <c r="BI241" i="1"/>
  <c r="BI242" i="1"/>
  <c r="BI243" i="1"/>
  <c r="BI244" i="1"/>
  <c r="BI245" i="1"/>
  <c r="BI249" i="1"/>
  <c r="BI250" i="1"/>
  <c r="BI251" i="1"/>
  <c r="BI252" i="1"/>
  <c r="BI253" i="1"/>
  <c r="BI254" i="1"/>
  <c r="BI255" i="1"/>
  <c r="BI256" i="1"/>
  <c r="BI257" i="1"/>
  <c r="BI268" i="1"/>
  <c r="BI269" i="1"/>
  <c r="BI270" i="1"/>
  <c r="BI271" i="1"/>
  <c r="BI272" i="1"/>
  <c r="BI273" i="1"/>
  <c r="BI274" i="1"/>
  <c r="BI275" i="1"/>
  <c r="BI277" i="1"/>
  <c r="BI278" i="1"/>
  <c r="BI279" i="1"/>
  <c r="BI280" i="1"/>
  <c r="BF276" i="1"/>
  <c r="BI276" i="1" s="1"/>
  <c r="CA133" i="1" l="1"/>
  <c r="BX133" i="1"/>
  <c r="BZ133" i="1"/>
  <c r="BX175" i="1"/>
  <c r="CA134" i="1"/>
  <c r="BY134" i="1"/>
  <c r="CA175" i="1"/>
  <c r="BZ150" i="1"/>
  <c r="CA150" i="1"/>
  <c r="BY150" i="1"/>
  <c r="BX150" i="1"/>
  <c r="CA148" i="1"/>
  <c r="BZ148" i="1"/>
  <c r="BY148" i="1"/>
  <c r="BX148" i="1"/>
  <c r="BX134" i="1"/>
  <c r="BY175" i="1"/>
  <c r="BX144" i="1"/>
  <c r="BX136" i="1"/>
  <c r="CA136" i="1"/>
  <c r="BR4" i="1"/>
  <c r="BU61" i="1"/>
  <c r="BX165" i="1"/>
  <c r="CA165" i="1"/>
  <c r="BZ165" i="1"/>
  <c r="BY161" i="1"/>
  <c r="BX161" i="1"/>
  <c r="BZ161" i="1"/>
  <c r="CA161" i="1"/>
  <c r="BZ164" i="1"/>
  <c r="BX164" i="1"/>
  <c r="BY164" i="1"/>
  <c r="CA164" i="1"/>
  <c r="BZ176" i="1"/>
  <c r="CA176" i="1"/>
  <c r="BY176" i="1"/>
  <c r="BX176" i="1"/>
  <c r="CA177" i="1"/>
  <c r="BY177" i="1"/>
  <c r="BX177" i="1"/>
  <c r="BZ177" i="1"/>
  <c r="BZ163" i="1"/>
  <c r="BX163" i="1"/>
  <c r="CA163" i="1"/>
  <c r="BY163" i="1"/>
  <c r="BF264" i="1"/>
  <c r="BI264" i="1" s="1"/>
  <c r="BF259" i="1"/>
  <c r="BI259" i="1" s="1"/>
  <c r="BF267" i="1"/>
  <c r="BI267" i="1" s="1"/>
  <c r="BF266" i="1"/>
  <c r="BI266" i="1" s="1"/>
  <c r="BF265" i="1"/>
  <c r="BI265" i="1" s="1"/>
  <c r="BF263" i="1"/>
  <c r="BI263" i="1" s="1"/>
  <c r="BF262" i="1"/>
  <c r="BI262" i="1" s="1"/>
  <c r="BF261" i="1"/>
  <c r="BI261" i="1" s="1"/>
  <c r="BF260" i="1"/>
  <c r="BI260" i="1" s="1"/>
  <c r="BF258" i="1"/>
  <c r="BI258" i="1" s="1"/>
  <c r="BF248" i="1" l="1"/>
  <c r="BI248" i="1" s="1"/>
  <c r="BF247" i="1"/>
  <c r="BI247" i="1" s="1"/>
  <c r="BF246" i="1"/>
  <c r="BI246" i="1" s="1"/>
  <c r="BF231" i="1" l="1"/>
  <c r="BI231" i="1" s="1"/>
  <c r="BF215" i="1" l="1"/>
  <c r="BI215" i="1" s="1"/>
  <c r="BF211" i="1"/>
  <c r="BI211" i="1" s="1"/>
  <c r="BF208" i="1"/>
  <c r="BI208" i="1" s="1"/>
  <c r="BF207" i="1"/>
  <c r="BI207" i="1" s="1"/>
  <c r="BF206" i="1"/>
  <c r="BI206" i="1" s="1"/>
  <c r="BF205" i="1"/>
  <c r="BI205" i="1" s="1"/>
  <c r="BF203" i="1"/>
  <c r="BI203" i="1" s="1"/>
  <c r="BF202" i="1"/>
  <c r="BI202" i="1" s="1"/>
  <c r="BF201" i="1"/>
  <c r="BI201" i="1" s="1"/>
  <c r="BF199" i="1"/>
  <c r="BI199" i="1" s="1"/>
  <c r="BF210" i="1"/>
  <c r="BI210" i="1" s="1"/>
  <c r="BF186" i="1" l="1"/>
  <c r="BI186" i="1" s="1"/>
  <c r="BF193" i="1"/>
  <c r="BI193" i="1" s="1"/>
  <c r="BF192" i="1"/>
  <c r="BI192" i="1" s="1"/>
  <c r="BF191" i="1"/>
  <c r="BI191" i="1" s="1"/>
  <c r="BF190" i="1"/>
  <c r="BI190" i="1" s="1"/>
  <c r="BF189" i="1"/>
  <c r="BI189" i="1" s="1"/>
  <c r="BF188" i="1"/>
  <c r="BI188" i="1" s="1"/>
  <c r="BF187" i="1"/>
  <c r="BI187" i="1" s="1"/>
  <c r="BF178" i="1" l="1"/>
  <c r="BI178" i="1" s="1"/>
  <c r="BF175" i="1"/>
  <c r="BI175" i="1" s="1"/>
  <c r="BF166" i="1" l="1"/>
  <c r="BI166" i="1" s="1"/>
  <c r="BF165" i="1"/>
  <c r="BI165" i="1" s="1"/>
  <c r="BF164" i="1"/>
  <c r="BI164" i="1" s="1"/>
  <c r="BF161" i="1"/>
  <c r="BI161" i="1" s="1"/>
  <c r="BF160" i="1"/>
  <c r="BI160" i="1" s="1"/>
  <c r="BF154" i="1" l="1"/>
  <c r="BI154" i="1" s="1"/>
  <c r="BF152" i="1"/>
  <c r="BI152" i="1" s="1"/>
  <c r="BF144" i="1"/>
  <c r="BI144" i="1" s="1"/>
  <c r="BF157" i="1"/>
  <c r="BI157" i="1" s="1"/>
  <c r="BF150" i="1"/>
  <c r="BI150" i="1" s="1"/>
  <c r="BF149" i="1"/>
  <c r="BI149" i="1" s="1"/>
  <c r="BF148" i="1"/>
  <c r="BI148" i="1" s="1"/>
  <c r="BF145" i="1"/>
  <c r="BI145" i="1" s="1"/>
  <c r="BF142" i="1" l="1"/>
  <c r="BI142" i="1" s="1"/>
  <c r="BF141" i="1"/>
  <c r="BI141" i="1" s="1"/>
  <c r="BF134" i="1"/>
  <c r="BI134" i="1" s="1"/>
  <c r="BF132" i="1"/>
  <c r="BI132" i="1" s="1"/>
  <c r="BF131" i="1"/>
  <c r="BI131" i="1" s="1"/>
  <c r="BF140" i="1"/>
  <c r="BI140" i="1" s="1"/>
  <c r="BF139" i="1"/>
  <c r="BI139" i="1" s="1"/>
  <c r="BF138" i="1"/>
  <c r="BI138" i="1" s="1"/>
  <c r="BF137" i="1"/>
  <c r="BI137" i="1" s="1"/>
  <c r="BF127" i="1" l="1"/>
  <c r="BI127" i="1" s="1"/>
  <c r="BF125" i="1"/>
  <c r="BI125" i="1" s="1"/>
  <c r="BF122" i="1"/>
  <c r="BI122" i="1" s="1"/>
  <c r="BF121" i="1"/>
  <c r="BI121" i="1" s="1"/>
  <c r="BF120" i="1"/>
  <c r="BI120" i="1" s="1"/>
  <c r="BF116" i="1" l="1"/>
  <c r="BI116" i="1" s="1"/>
  <c r="BF115" i="1"/>
  <c r="BI115" i="1" s="1"/>
  <c r="BF114" i="1"/>
  <c r="BI114" i="1" s="1"/>
  <c r="BF111" i="1"/>
  <c r="BI111" i="1" s="1"/>
  <c r="BF107" i="1"/>
  <c r="BI107" i="1" s="1"/>
  <c r="BF106" i="1"/>
  <c r="BI106" i="1" s="1"/>
  <c r="BF105" i="1"/>
  <c r="BI105" i="1" s="1"/>
  <c r="BF104" i="1"/>
  <c r="BI104" i="1" s="1"/>
  <c r="BF102" i="1"/>
  <c r="BI102" i="1" s="1"/>
  <c r="BF101" i="1"/>
  <c r="BI101" i="1" s="1"/>
  <c r="BF99" i="1"/>
  <c r="BI99" i="1" s="1"/>
  <c r="BF97" i="1"/>
  <c r="BI97" i="1" s="1"/>
  <c r="BF90" i="1" l="1"/>
  <c r="BI90" i="1" s="1"/>
  <c r="BF89" i="1"/>
  <c r="BI89" i="1" s="1"/>
  <c r="BF88" i="1"/>
  <c r="BI88" i="1" s="1"/>
  <c r="BF87" i="1"/>
  <c r="BI87" i="1" s="1"/>
  <c r="BF86" i="1"/>
  <c r="BI86" i="1" s="1"/>
  <c r="BD85" i="1"/>
  <c r="BF72" i="1" l="1"/>
  <c r="BI72" i="1" s="1"/>
  <c r="BF71" i="1"/>
  <c r="BI71" i="1" s="1"/>
  <c r="BF66" i="1" l="1"/>
  <c r="BI66" i="1" s="1"/>
  <c r="BF65" i="1"/>
  <c r="BI65" i="1" s="1"/>
  <c r="BF64" i="1"/>
  <c r="BI64" i="1" s="1"/>
  <c r="BF63" i="1"/>
  <c r="BI63" i="1" s="1"/>
  <c r="BF62" i="1"/>
  <c r="BI62" i="1" s="1"/>
  <c r="BF61" i="1"/>
  <c r="BI61" i="1" s="1"/>
  <c r="BF59" i="1"/>
  <c r="BI59" i="1" s="1"/>
  <c r="BF58" i="1"/>
  <c r="BI58" i="1" s="1"/>
  <c r="BF47" i="1" l="1"/>
  <c r="BI47" i="1" s="1"/>
  <c r="BF45" i="1"/>
  <c r="BI45" i="1" s="1"/>
  <c r="BF56" i="1"/>
  <c r="BI56" i="1" s="1"/>
  <c r="BF55" i="1"/>
  <c r="BI55" i="1" s="1"/>
  <c r="BF53" i="1"/>
  <c r="BI53" i="1" s="1"/>
  <c r="BF52" i="1"/>
  <c r="BI52" i="1" s="1"/>
  <c r="BF51" i="1"/>
  <c r="BI51" i="1" s="1"/>
  <c r="BF49" i="1"/>
  <c r="BI49" i="1" s="1"/>
  <c r="BF44" i="1"/>
  <c r="BI44" i="1" s="1"/>
  <c r="BF39" i="1" l="1"/>
  <c r="BI39" i="1" s="1"/>
  <c r="BF37" i="1"/>
  <c r="BI37" i="1" s="1"/>
  <c r="BF33" i="1" l="1"/>
  <c r="BI33" i="1" s="1"/>
  <c r="BF25" i="1"/>
  <c r="BI25" i="1" s="1"/>
  <c r="BF21" i="1"/>
  <c r="BI21" i="1" s="1"/>
  <c r="BF19" i="1" l="1"/>
  <c r="BI19" i="1" s="1"/>
  <c r="BF18" i="1"/>
  <c r="BI18" i="1" s="1"/>
  <c r="BF16" i="1"/>
  <c r="BI16" i="1" s="1"/>
  <c r="BF15" i="1"/>
  <c r="BI15" i="1" s="1"/>
  <c r="BF14" i="1"/>
  <c r="BI14" i="1" s="1"/>
  <c r="BF12" i="1"/>
  <c r="BF11" i="1"/>
  <c r="BF10" i="1"/>
  <c r="BF9" i="1"/>
  <c r="BI9" i="1" s="1"/>
  <c r="BF8" i="1"/>
  <c r="AT91" i="1" l="1"/>
  <c r="AT81" i="1"/>
  <c r="AW81" i="1" s="1"/>
  <c r="AT79" i="1"/>
  <c r="AW79" i="1" s="1"/>
  <c r="AT77" i="1"/>
  <c r="AW77" i="1" s="1"/>
  <c r="AT73" i="1"/>
  <c r="AW73" i="1" s="1"/>
  <c r="AT71" i="1"/>
  <c r="AW71" i="1" s="1"/>
  <c r="AT65" i="1"/>
  <c r="AW65" i="1" s="1"/>
  <c r="AT64" i="1"/>
  <c r="AW64" i="1" s="1"/>
  <c r="AA61" i="1"/>
  <c r="BP61" i="1" s="1"/>
  <c r="BV61" i="1" s="1"/>
  <c r="Z61" i="1"/>
  <c r="BD61" i="1" s="1"/>
  <c r="Y61" i="1"/>
  <c r="AT60" i="1"/>
  <c r="AW60" i="1" s="1"/>
  <c r="AT59" i="1"/>
  <c r="AW59" i="1" s="1"/>
  <c r="AT58" i="1"/>
  <c r="AW58" i="1" s="1"/>
  <c r="AT38" i="1"/>
  <c r="AW38" i="1" s="1"/>
  <c r="AA28" i="1"/>
  <c r="Z28" i="1"/>
  <c r="BD28" i="1" s="1"/>
  <c r="Y28" i="1"/>
  <c r="AT263" i="1"/>
  <c r="AW263" i="1" s="1"/>
  <c r="AT262" i="1"/>
  <c r="AW262" i="1" s="1"/>
  <c r="AT239" i="1"/>
  <c r="AT230" i="1"/>
  <c r="AT222" i="1"/>
  <c r="AT212" i="1"/>
  <c r="AW212" i="1" s="1"/>
  <c r="AT211" i="1"/>
  <c r="AW211" i="1" s="1"/>
  <c r="AT199" i="1"/>
  <c r="AW199" i="1" s="1"/>
  <c r="AT188" i="1"/>
  <c r="AW188" i="1" s="1"/>
  <c r="AT187" i="1"/>
  <c r="AW187" i="1" s="1"/>
  <c r="AT186" i="1"/>
  <c r="AW186" i="1" s="1"/>
  <c r="AA279" i="1"/>
  <c r="Z279" i="1"/>
  <c r="BD279" i="1" s="1"/>
  <c r="Y279" i="1"/>
  <c r="AA267" i="1"/>
  <c r="BP267" i="1" s="1"/>
  <c r="BV267" i="1" s="1"/>
  <c r="Z267" i="1"/>
  <c r="BD267" i="1" s="1"/>
  <c r="Y267" i="1"/>
  <c r="AA256" i="1"/>
  <c r="BP256" i="1" s="1"/>
  <c r="BV256" i="1" s="1"/>
  <c r="Z256" i="1"/>
  <c r="BD256" i="1" s="1"/>
  <c r="Y256" i="1"/>
  <c r="AA243" i="1"/>
  <c r="BP243" i="1" s="1"/>
  <c r="BV243" i="1" s="1"/>
  <c r="Z243" i="1"/>
  <c r="BD243" i="1" s="1"/>
  <c r="Y243" i="1"/>
  <c r="AA228" i="1"/>
  <c r="Z228" i="1"/>
  <c r="Y228" i="1"/>
  <c r="AA216" i="1"/>
  <c r="BP216" i="1" s="1"/>
  <c r="BV216" i="1" s="1"/>
  <c r="Z216" i="1"/>
  <c r="BD216" i="1" s="1"/>
  <c r="Y216" i="1"/>
  <c r="AA196" i="1"/>
  <c r="BP196" i="1" s="1"/>
  <c r="BV196" i="1" s="1"/>
  <c r="Z196" i="1"/>
  <c r="BD196" i="1" s="1"/>
  <c r="Y196" i="1"/>
  <c r="AA183" i="1"/>
  <c r="BP183" i="1" s="1"/>
  <c r="BV183" i="1" s="1"/>
  <c r="Z183" i="1"/>
  <c r="BD183" i="1" s="1"/>
  <c r="Y183" i="1"/>
  <c r="AA173" i="1"/>
  <c r="BP173" i="1" s="1"/>
  <c r="BV173" i="1" s="1"/>
  <c r="Z173" i="1"/>
  <c r="BD173" i="1" s="1"/>
  <c r="Y173" i="1"/>
  <c r="AA158" i="1"/>
  <c r="Z158" i="1"/>
  <c r="Y158" i="1"/>
  <c r="AA142" i="1"/>
  <c r="CV142" i="1" s="1"/>
  <c r="Z142" i="1"/>
  <c r="Y142" i="1"/>
  <c r="AA128" i="1"/>
  <c r="BP128" i="1" s="1"/>
  <c r="BV128" i="1" s="1"/>
  <c r="Z128" i="1"/>
  <c r="BD128" i="1" s="1"/>
  <c r="Y128" i="1"/>
  <c r="CD128" i="1" s="1"/>
  <c r="AA111" i="1"/>
  <c r="BP111" i="1" s="1"/>
  <c r="BV111" i="1" s="1"/>
  <c r="Z111" i="1"/>
  <c r="BD111" i="1" s="1"/>
  <c r="Y111" i="1"/>
  <c r="AA95" i="1"/>
  <c r="BP95" i="1" s="1"/>
  <c r="BV95" i="1" s="1"/>
  <c r="Z95" i="1"/>
  <c r="BD95" i="1" s="1"/>
  <c r="Y95" i="1"/>
  <c r="AA83" i="1"/>
  <c r="BP83" i="1" s="1"/>
  <c r="BV83" i="1" s="1"/>
  <c r="Z83" i="1"/>
  <c r="BD83" i="1" s="1"/>
  <c r="Y83" i="1"/>
  <c r="AA69" i="1"/>
  <c r="BP69" i="1" s="1"/>
  <c r="BV69" i="1" s="1"/>
  <c r="Z69" i="1"/>
  <c r="BD69" i="1" s="1"/>
  <c r="Y69" i="1"/>
  <c r="AA56" i="1"/>
  <c r="BP56" i="1" s="1"/>
  <c r="BV56" i="1" s="1"/>
  <c r="Z56" i="1"/>
  <c r="BD56" i="1" s="1"/>
  <c r="Y56" i="1"/>
  <c r="AA42" i="1"/>
  <c r="Z42" i="1"/>
  <c r="Y42" i="1"/>
  <c r="AA19" i="1"/>
  <c r="BP19" i="1" s="1"/>
  <c r="BV19" i="1" s="1"/>
  <c r="Z19" i="1"/>
  <c r="Y19" i="1"/>
  <c r="CD19" i="1" s="1"/>
  <c r="AT179" i="1"/>
  <c r="AW179" i="1" s="1"/>
  <c r="AT169" i="1"/>
  <c r="AW169" i="1" s="1"/>
  <c r="AT167" i="1"/>
  <c r="AW167" i="1" s="1"/>
  <c r="AT166" i="1"/>
  <c r="AW166" i="1" s="1"/>
  <c r="AT165" i="1"/>
  <c r="AW165" i="1" s="1"/>
  <c r="AT164" i="1"/>
  <c r="AW164" i="1" s="1"/>
  <c r="AT163" i="1"/>
  <c r="AW163" i="1" s="1"/>
  <c r="AT162" i="1"/>
  <c r="AW162" i="1" s="1"/>
  <c r="AT161" i="1"/>
  <c r="AW161" i="1" s="1"/>
  <c r="AT17" i="1"/>
  <c r="AW17" i="1" s="1"/>
  <c r="AH167" i="1"/>
  <c r="AK167" i="1" s="1"/>
  <c r="AA167" i="1"/>
  <c r="BP167" i="1" s="1"/>
  <c r="BV167" i="1" s="1"/>
  <c r="Z167" i="1"/>
  <c r="BD167" i="1" s="1"/>
  <c r="Y167" i="1"/>
  <c r="AR167" i="1" s="1"/>
  <c r="X167" i="1"/>
  <c r="AH166" i="1"/>
  <c r="AK166" i="1" s="1"/>
  <c r="AA166" i="1"/>
  <c r="BP166" i="1" s="1"/>
  <c r="BV166" i="1" s="1"/>
  <c r="Z166" i="1"/>
  <c r="BD166" i="1" s="1"/>
  <c r="Y166" i="1"/>
  <c r="AR166" i="1" s="1"/>
  <c r="X166" i="1"/>
  <c r="CD166" i="1" s="1"/>
  <c r="AH164" i="1"/>
  <c r="AK164" i="1" s="1"/>
  <c r="AH163" i="1"/>
  <c r="AK163" i="1"/>
  <c r="AH165" i="1"/>
  <c r="AK165" i="1" s="1"/>
  <c r="AH161" i="1"/>
  <c r="AK161" i="1" s="1"/>
  <c r="BI13" i="1"/>
  <c r="BI12" i="1"/>
  <c r="BI11" i="1"/>
  <c r="BI10" i="1"/>
  <c r="BI8" i="1"/>
  <c r="BP268" i="1"/>
  <c r="BV268" i="1" s="1"/>
  <c r="BP266" i="1"/>
  <c r="BV266" i="1" s="1"/>
  <c r="BP265" i="1"/>
  <c r="BV265" i="1" s="1"/>
  <c r="BP264" i="1"/>
  <c r="BV264" i="1" s="1"/>
  <c r="BP263" i="1"/>
  <c r="BV263" i="1" s="1"/>
  <c r="BP262" i="1"/>
  <c r="BV262" i="1" s="1"/>
  <c r="BP261" i="1"/>
  <c r="BV261" i="1" s="1"/>
  <c r="BP260" i="1"/>
  <c r="BV260" i="1" s="1"/>
  <c r="BP259" i="1"/>
  <c r="BV259" i="1" s="1"/>
  <c r="BP258" i="1"/>
  <c r="BV258" i="1" s="1"/>
  <c r="BP257" i="1"/>
  <c r="BV257" i="1" s="1"/>
  <c r="BP255" i="1"/>
  <c r="BV255" i="1" s="1"/>
  <c r="BP254" i="1"/>
  <c r="BV254" i="1" s="1"/>
  <c r="BP253" i="1"/>
  <c r="BV253" i="1" s="1"/>
  <c r="BP252" i="1"/>
  <c r="BV252" i="1" s="1"/>
  <c r="BP251" i="1"/>
  <c r="BV251" i="1" s="1"/>
  <c r="BP250" i="1"/>
  <c r="BV250" i="1" s="1"/>
  <c r="BP249" i="1"/>
  <c r="BV249" i="1" s="1"/>
  <c r="BP248" i="1"/>
  <c r="BV248" i="1" s="1"/>
  <c r="BP247" i="1"/>
  <c r="BV247" i="1" s="1"/>
  <c r="BP246" i="1"/>
  <c r="BV246" i="1" s="1"/>
  <c r="BP245" i="1"/>
  <c r="BV245" i="1" s="1"/>
  <c r="BP244" i="1"/>
  <c r="BV244" i="1" s="1"/>
  <c r="BP242" i="1"/>
  <c r="BV242" i="1" s="1"/>
  <c r="BP241" i="1"/>
  <c r="BV241" i="1" s="1"/>
  <c r="BP240" i="1"/>
  <c r="BV240" i="1" s="1"/>
  <c r="BP239" i="1"/>
  <c r="BV239" i="1" s="1"/>
  <c r="BP238" i="1"/>
  <c r="BV238" i="1" s="1"/>
  <c r="BP237" i="1"/>
  <c r="BV237" i="1" s="1"/>
  <c r="BP236" i="1"/>
  <c r="BV236" i="1" s="1"/>
  <c r="BP235" i="1"/>
  <c r="BV235" i="1" s="1"/>
  <c r="BP234" i="1"/>
  <c r="BV234" i="1" s="1"/>
  <c r="BP233" i="1"/>
  <c r="BV233" i="1" s="1"/>
  <c r="BP232" i="1"/>
  <c r="BV232" i="1" s="1"/>
  <c r="BP231" i="1"/>
  <c r="BV231" i="1" s="1"/>
  <c r="BP230" i="1"/>
  <c r="BV230" i="1" s="1"/>
  <c r="BP229" i="1"/>
  <c r="BV229" i="1" s="1"/>
  <c r="BP228" i="1"/>
  <c r="BV228" i="1" s="1"/>
  <c r="BP227" i="1"/>
  <c r="BV227" i="1" s="1"/>
  <c r="BP226" i="1"/>
  <c r="BV226" i="1" s="1"/>
  <c r="BP225" i="1"/>
  <c r="BV225" i="1" s="1"/>
  <c r="BP224" i="1"/>
  <c r="BV224" i="1" s="1"/>
  <c r="BP223" i="1"/>
  <c r="BV223" i="1" s="1"/>
  <c r="BP222" i="1"/>
  <c r="BV222" i="1" s="1"/>
  <c r="BP221" i="1"/>
  <c r="BV221" i="1" s="1"/>
  <c r="BP220" i="1"/>
  <c r="BV220" i="1" s="1"/>
  <c r="BP219" i="1"/>
  <c r="BV219" i="1" s="1"/>
  <c r="BP218" i="1"/>
  <c r="BV218" i="1" s="1"/>
  <c r="BP217" i="1"/>
  <c r="BV217" i="1" s="1"/>
  <c r="BP215" i="1"/>
  <c r="BV215" i="1" s="1"/>
  <c r="BP214" i="1"/>
  <c r="BV214" i="1" s="1"/>
  <c r="BP213" i="1"/>
  <c r="BV213" i="1" s="1"/>
  <c r="BP212" i="1"/>
  <c r="BV212" i="1" s="1"/>
  <c r="BP211" i="1"/>
  <c r="BV211" i="1" s="1"/>
  <c r="BP210" i="1"/>
  <c r="BV210" i="1" s="1"/>
  <c r="BP209" i="1"/>
  <c r="BV209" i="1" s="1"/>
  <c r="BP208" i="1"/>
  <c r="BV208" i="1" s="1"/>
  <c r="BP204" i="1"/>
  <c r="BV204" i="1" s="1"/>
  <c r="BP203" i="1"/>
  <c r="BV203" i="1" s="1"/>
  <c r="BP202" i="1"/>
  <c r="BV202" i="1" s="1"/>
  <c r="BP201" i="1"/>
  <c r="BV201" i="1" s="1"/>
  <c r="BP200" i="1"/>
  <c r="BV200" i="1" s="1"/>
  <c r="BP199" i="1"/>
  <c r="BV199" i="1" s="1"/>
  <c r="BP197" i="1"/>
  <c r="BV197" i="1" s="1"/>
  <c r="BP195" i="1"/>
  <c r="BV195" i="1" s="1"/>
  <c r="BP194" i="1"/>
  <c r="BV194" i="1" s="1"/>
  <c r="BP193" i="1"/>
  <c r="BV193" i="1" s="1"/>
  <c r="BP192" i="1"/>
  <c r="BV192" i="1" s="1"/>
  <c r="BP191" i="1"/>
  <c r="BV191" i="1" s="1"/>
  <c r="BP190" i="1"/>
  <c r="BV190" i="1" s="1"/>
  <c r="BP189" i="1"/>
  <c r="BV189" i="1" s="1"/>
  <c r="BP188" i="1"/>
  <c r="BV188" i="1" s="1"/>
  <c r="BP187" i="1"/>
  <c r="BV187" i="1" s="1"/>
  <c r="BP186" i="1"/>
  <c r="BV186" i="1" s="1"/>
  <c r="BP185" i="1"/>
  <c r="BV185" i="1" s="1"/>
  <c r="BP184" i="1"/>
  <c r="BV184" i="1" s="1"/>
  <c r="BP182" i="1"/>
  <c r="BV182" i="1" s="1"/>
  <c r="BP181" i="1"/>
  <c r="BV181" i="1" s="1"/>
  <c r="BP180" i="1"/>
  <c r="BV180" i="1" s="1"/>
  <c r="BP179" i="1"/>
  <c r="BV179" i="1" s="1"/>
  <c r="BP178" i="1"/>
  <c r="BV178" i="1" s="1"/>
  <c r="BP129" i="1"/>
  <c r="BV129" i="1" s="1"/>
  <c r="BP127" i="1"/>
  <c r="BV127" i="1" s="1"/>
  <c r="BP126" i="1"/>
  <c r="BV126" i="1" s="1"/>
  <c r="BP125" i="1"/>
  <c r="BV125" i="1" s="1"/>
  <c r="BP124" i="1"/>
  <c r="BV124" i="1" s="1"/>
  <c r="BP123" i="1"/>
  <c r="BV123" i="1" s="1"/>
  <c r="BP122" i="1"/>
  <c r="BV122" i="1" s="1"/>
  <c r="BP121" i="1"/>
  <c r="BV121" i="1" s="1"/>
  <c r="BP120" i="1"/>
  <c r="BV120" i="1" s="1"/>
  <c r="BP119" i="1"/>
  <c r="BV119" i="1" s="1"/>
  <c r="BP118" i="1"/>
  <c r="BV118" i="1" s="1"/>
  <c r="BP117" i="1"/>
  <c r="BV117" i="1" s="1"/>
  <c r="BP116" i="1"/>
  <c r="BV116" i="1" s="1"/>
  <c r="BP115" i="1"/>
  <c r="BV115" i="1" s="1"/>
  <c r="BP114" i="1"/>
  <c r="BV114" i="1" s="1"/>
  <c r="BP113" i="1"/>
  <c r="BV113" i="1" s="1"/>
  <c r="BP112" i="1"/>
  <c r="BV112" i="1" s="1"/>
  <c r="BP110" i="1"/>
  <c r="BV110" i="1" s="1"/>
  <c r="BP109" i="1"/>
  <c r="BV109" i="1" s="1"/>
  <c r="BP108" i="1"/>
  <c r="BV108" i="1" s="1"/>
  <c r="BP107" i="1"/>
  <c r="BV107" i="1" s="1"/>
  <c r="BP106" i="1"/>
  <c r="BV106" i="1" s="1"/>
  <c r="BP105" i="1"/>
  <c r="BV105" i="1" s="1"/>
  <c r="BP104" i="1"/>
  <c r="BV104" i="1" s="1"/>
  <c r="BP103" i="1"/>
  <c r="BV103" i="1" s="1"/>
  <c r="BP102" i="1"/>
  <c r="BV102" i="1" s="1"/>
  <c r="BP101" i="1"/>
  <c r="BV101" i="1" s="1"/>
  <c r="BP100" i="1"/>
  <c r="BV100" i="1" s="1"/>
  <c r="BP99" i="1"/>
  <c r="BV99" i="1" s="1"/>
  <c r="BP98" i="1"/>
  <c r="BV98" i="1" s="1"/>
  <c r="BP97" i="1"/>
  <c r="BV97" i="1" s="1"/>
  <c r="BP96" i="1"/>
  <c r="BV96" i="1" s="1"/>
  <c r="BP94" i="1"/>
  <c r="BV94" i="1" s="1"/>
  <c r="BP93" i="1"/>
  <c r="BV93" i="1" s="1"/>
  <c r="BP92" i="1"/>
  <c r="BV92" i="1" s="1"/>
  <c r="BP91" i="1"/>
  <c r="BV91" i="1" s="1"/>
  <c r="BP90" i="1"/>
  <c r="BV90" i="1" s="1"/>
  <c r="BP89" i="1"/>
  <c r="BV89" i="1" s="1"/>
  <c r="BP88" i="1"/>
  <c r="BV88" i="1" s="1"/>
  <c r="BP87" i="1"/>
  <c r="BV87" i="1" s="1"/>
  <c r="BP86" i="1"/>
  <c r="BV86" i="1" s="1"/>
  <c r="BP85" i="1"/>
  <c r="BV85" i="1" s="1"/>
  <c r="BP84" i="1"/>
  <c r="BV84" i="1" s="1"/>
  <c r="BP82" i="1"/>
  <c r="BV82" i="1" s="1"/>
  <c r="BP81" i="1"/>
  <c r="BV81" i="1" s="1"/>
  <c r="BP80" i="1"/>
  <c r="BV80" i="1" s="1"/>
  <c r="BP79" i="1"/>
  <c r="BV79" i="1" s="1"/>
  <c r="BP78" i="1"/>
  <c r="BV78" i="1" s="1"/>
  <c r="BP77" i="1"/>
  <c r="BV77" i="1" s="1"/>
  <c r="BP76" i="1"/>
  <c r="BV76" i="1" s="1"/>
  <c r="BP75" i="1"/>
  <c r="BV75" i="1" s="1"/>
  <c r="BP74" i="1"/>
  <c r="BV74" i="1" s="1"/>
  <c r="BP73" i="1"/>
  <c r="BV73" i="1" s="1"/>
  <c r="BP72" i="1"/>
  <c r="BV72" i="1" s="1"/>
  <c r="BP71" i="1"/>
  <c r="BV71" i="1" s="1"/>
  <c r="BP70" i="1"/>
  <c r="BV70" i="1" s="1"/>
  <c r="BP68" i="1"/>
  <c r="BV68" i="1" s="1"/>
  <c r="BP67" i="1"/>
  <c r="BV67" i="1" s="1"/>
  <c r="BP66" i="1"/>
  <c r="BV66" i="1" s="1"/>
  <c r="BP65" i="1"/>
  <c r="BV65" i="1" s="1"/>
  <c r="BP64" i="1"/>
  <c r="BV64" i="1" s="1"/>
  <c r="BP62" i="1"/>
  <c r="BV62" i="1" s="1"/>
  <c r="BP60" i="1"/>
  <c r="BV60" i="1" s="1"/>
  <c r="BP59" i="1"/>
  <c r="BV59" i="1" s="1"/>
  <c r="BP58" i="1"/>
  <c r="BV58" i="1" s="1"/>
  <c r="BP57" i="1"/>
  <c r="BV57" i="1" s="1"/>
  <c r="BP55" i="1"/>
  <c r="BV55" i="1" s="1"/>
  <c r="BP54" i="1"/>
  <c r="BV54" i="1" s="1"/>
  <c r="BP53" i="1"/>
  <c r="BV53" i="1" s="1"/>
  <c r="BP52" i="1"/>
  <c r="BV52" i="1" s="1"/>
  <c r="BP51" i="1"/>
  <c r="BV51" i="1" s="1"/>
  <c r="BP50" i="1"/>
  <c r="BV50" i="1" s="1"/>
  <c r="BP49" i="1"/>
  <c r="BV49" i="1" s="1"/>
  <c r="BP48" i="1"/>
  <c r="BV48" i="1" s="1"/>
  <c r="BP47" i="1"/>
  <c r="BV47" i="1" s="1"/>
  <c r="BP46" i="1"/>
  <c r="BV46" i="1" s="1"/>
  <c r="BP45" i="1"/>
  <c r="BV45" i="1" s="1"/>
  <c r="BP44" i="1"/>
  <c r="BV44" i="1" s="1"/>
  <c r="BP20" i="1"/>
  <c r="BV20" i="1" s="1"/>
  <c r="BP18" i="1"/>
  <c r="BV18" i="1" s="1"/>
  <c r="BP17" i="1"/>
  <c r="BV17" i="1" s="1"/>
  <c r="BP16" i="1"/>
  <c r="BV16" i="1" s="1"/>
  <c r="BP15" i="1"/>
  <c r="BV15" i="1" s="1"/>
  <c r="BP14" i="1"/>
  <c r="BV14" i="1" s="1"/>
  <c r="BP13" i="1"/>
  <c r="BV13" i="1" s="1"/>
  <c r="BP12" i="1"/>
  <c r="BV12" i="1" s="1"/>
  <c r="BP11" i="1"/>
  <c r="BV11" i="1" s="1"/>
  <c r="BP10" i="1"/>
  <c r="BV10" i="1" s="1"/>
  <c r="BP9" i="1"/>
  <c r="BV9" i="1" s="1"/>
  <c r="BD280" i="1"/>
  <c r="BD278" i="1"/>
  <c r="CB278" i="1" s="1"/>
  <c r="BD277" i="1"/>
  <c r="BD276" i="1"/>
  <c r="CB276" i="1" s="1"/>
  <c r="BD275" i="1"/>
  <c r="BD274" i="1"/>
  <c r="CB274" i="1" s="1"/>
  <c r="BD273" i="1"/>
  <c r="CB273" i="1" s="1"/>
  <c r="BD272" i="1"/>
  <c r="CB272" i="1" s="1"/>
  <c r="BD271" i="1"/>
  <c r="BD270" i="1"/>
  <c r="BD269" i="1"/>
  <c r="CB269" i="1" s="1"/>
  <c r="BD268" i="1"/>
  <c r="BD266" i="1"/>
  <c r="BD265" i="1"/>
  <c r="BD264" i="1"/>
  <c r="BD263" i="1"/>
  <c r="BD262" i="1"/>
  <c r="BD261" i="1"/>
  <c r="BD260" i="1"/>
  <c r="BD259" i="1"/>
  <c r="BD258" i="1"/>
  <c r="BD257" i="1"/>
  <c r="BD255" i="1"/>
  <c r="BD254" i="1"/>
  <c r="BD253" i="1"/>
  <c r="BD252" i="1"/>
  <c r="BD251" i="1"/>
  <c r="BD250" i="1"/>
  <c r="BD249" i="1"/>
  <c r="BD248" i="1"/>
  <c r="BD247" i="1"/>
  <c r="BD246" i="1"/>
  <c r="BD245" i="1"/>
  <c r="BD244" i="1"/>
  <c r="BD242" i="1"/>
  <c r="BD241" i="1"/>
  <c r="BD240" i="1"/>
  <c r="BD239" i="1"/>
  <c r="BD238" i="1"/>
  <c r="BD237" i="1"/>
  <c r="BD236" i="1"/>
  <c r="BD235" i="1"/>
  <c r="BD234" i="1"/>
  <c r="BD233" i="1"/>
  <c r="BD232" i="1"/>
  <c r="BD231" i="1"/>
  <c r="BD230" i="1"/>
  <c r="BD229" i="1"/>
  <c r="BD228" i="1"/>
  <c r="BD227" i="1"/>
  <c r="BD226" i="1"/>
  <c r="BD225" i="1"/>
  <c r="BD224" i="1"/>
  <c r="BD223" i="1"/>
  <c r="BD222" i="1"/>
  <c r="BD221" i="1"/>
  <c r="BD220" i="1"/>
  <c r="BD219" i="1"/>
  <c r="BD218" i="1"/>
  <c r="BD217" i="1"/>
  <c r="BD215" i="1"/>
  <c r="BD214" i="1"/>
  <c r="BD213" i="1"/>
  <c r="BD212" i="1"/>
  <c r="BD211" i="1"/>
  <c r="BD210" i="1"/>
  <c r="BD209" i="1"/>
  <c r="BD208" i="1"/>
  <c r="BD204" i="1"/>
  <c r="BD203" i="1"/>
  <c r="BD202" i="1"/>
  <c r="BD201" i="1"/>
  <c r="BD200" i="1"/>
  <c r="BD199" i="1"/>
  <c r="BD197" i="1"/>
  <c r="BD195" i="1"/>
  <c r="BD194" i="1"/>
  <c r="BD193" i="1"/>
  <c r="BD192" i="1"/>
  <c r="BD191" i="1"/>
  <c r="BD190" i="1"/>
  <c r="BD189" i="1"/>
  <c r="BD188" i="1"/>
  <c r="BD187" i="1"/>
  <c r="BD186" i="1"/>
  <c r="BD185" i="1"/>
  <c r="BD184" i="1"/>
  <c r="BD182" i="1"/>
  <c r="BD181" i="1"/>
  <c r="BD180" i="1"/>
  <c r="BD179" i="1"/>
  <c r="BD178" i="1"/>
  <c r="BD177" i="1"/>
  <c r="BD176" i="1"/>
  <c r="CB176" i="1" s="1"/>
  <c r="BD175" i="1"/>
  <c r="BD174" i="1"/>
  <c r="CB174" i="1" s="1"/>
  <c r="BD172" i="1"/>
  <c r="CB172" i="1" s="1"/>
  <c r="BD171" i="1"/>
  <c r="CB171" i="1" s="1"/>
  <c r="BD170" i="1"/>
  <c r="CB170" i="1" s="1"/>
  <c r="BD169" i="1"/>
  <c r="CB169" i="1" s="1"/>
  <c r="BD168" i="1"/>
  <c r="CB168" i="1" s="1"/>
  <c r="BD165" i="1"/>
  <c r="CB165" i="1" s="1"/>
  <c r="BD164" i="1"/>
  <c r="BD163" i="1"/>
  <c r="CB163" i="1" s="1"/>
  <c r="BD162" i="1"/>
  <c r="BD161" i="1"/>
  <c r="CB161" i="1" s="1"/>
  <c r="BD160" i="1"/>
  <c r="CB160" i="1" s="1"/>
  <c r="BD159" i="1"/>
  <c r="BD157" i="1"/>
  <c r="CB157" i="1" s="1"/>
  <c r="BD156" i="1"/>
  <c r="BD155" i="1"/>
  <c r="BD154" i="1"/>
  <c r="BD153" i="1"/>
  <c r="BD152" i="1"/>
  <c r="BD151" i="1"/>
  <c r="BD150" i="1"/>
  <c r="BD149" i="1"/>
  <c r="CB149" i="1" s="1"/>
  <c r="BD148" i="1"/>
  <c r="CB148" i="1" s="1"/>
  <c r="BD147" i="1"/>
  <c r="CB147" i="1" s="1"/>
  <c r="BD146" i="1"/>
  <c r="CB146" i="1" s="1"/>
  <c r="BD145" i="1"/>
  <c r="CB145" i="1" s="1"/>
  <c r="BD144" i="1"/>
  <c r="BD143" i="1"/>
  <c r="CB143" i="1" s="1"/>
  <c r="BD142" i="1"/>
  <c r="BD141" i="1"/>
  <c r="CB141" i="1" s="1"/>
  <c r="BD140" i="1"/>
  <c r="BD139" i="1"/>
  <c r="BD138" i="1"/>
  <c r="BD137" i="1"/>
  <c r="BD136" i="1"/>
  <c r="BD135" i="1"/>
  <c r="BD134" i="1"/>
  <c r="CB134" i="1" s="1"/>
  <c r="BD133" i="1"/>
  <c r="BD132" i="1"/>
  <c r="BD131" i="1"/>
  <c r="BD130" i="1"/>
  <c r="BD129" i="1"/>
  <c r="BD127" i="1"/>
  <c r="BD126" i="1"/>
  <c r="BD125" i="1"/>
  <c r="BD124" i="1"/>
  <c r="BD123" i="1"/>
  <c r="BD122" i="1"/>
  <c r="BD121" i="1"/>
  <c r="BD120" i="1"/>
  <c r="BD119" i="1"/>
  <c r="BD118" i="1"/>
  <c r="BD117" i="1"/>
  <c r="BD116" i="1"/>
  <c r="BD115" i="1"/>
  <c r="BD114" i="1"/>
  <c r="BD113" i="1"/>
  <c r="BD112" i="1"/>
  <c r="BD110" i="1"/>
  <c r="BD109" i="1"/>
  <c r="BD108" i="1"/>
  <c r="BD107" i="1"/>
  <c r="BD106" i="1"/>
  <c r="BD105" i="1"/>
  <c r="BD104" i="1"/>
  <c r="BD103" i="1"/>
  <c r="BD102" i="1"/>
  <c r="BD101" i="1"/>
  <c r="BD100" i="1"/>
  <c r="BD99" i="1"/>
  <c r="BD98" i="1"/>
  <c r="BD97" i="1"/>
  <c r="BD96" i="1"/>
  <c r="BD94" i="1"/>
  <c r="BD93" i="1"/>
  <c r="BD92" i="1"/>
  <c r="BD91" i="1"/>
  <c r="BD90" i="1"/>
  <c r="BD89" i="1"/>
  <c r="BD88" i="1"/>
  <c r="BD87" i="1"/>
  <c r="BD86" i="1"/>
  <c r="BD84" i="1"/>
  <c r="BD82" i="1"/>
  <c r="BD81" i="1"/>
  <c r="BD80" i="1"/>
  <c r="BD79" i="1"/>
  <c r="BD78" i="1"/>
  <c r="BD77" i="1"/>
  <c r="BD76" i="1"/>
  <c r="BD75" i="1"/>
  <c r="BD74" i="1"/>
  <c r="BD73" i="1"/>
  <c r="BD72" i="1"/>
  <c r="BD71" i="1"/>
  <c r="BD70" i="1"/>
  <c r="BD68" i="1"/>
  <c r="BD67" i="1"/>
  <c r="BD66" i="1"/>
  <c r="BD65" i="1"/>
  <c r="BD64" i="1"/>
  <c r="BD63" i="1"/>
  <c r="CB63" i="1" s="1"/>
  <c r="BD62" i="1"/>
  <c r="BD60" i="1"/>
  <c r="BD59" i="1"/>
  <c r="BD58" i="1"/>
  <c r="BD57" i="1"/>
  <c r="BD55" i="1"/>
  <c r="BD54" i="1"/>
  <c r="BD53" i="1"/>
  <c r="BD52" i="1"/>
  <c r="BD51" i="1"/>
  <c r="BD50" i="1"/>
  <c r="BD49" i="1"/>
  <c r="BD48" i="1"/>
  <c r="BD47" i="1"/>
  <c r="BD46" i="1"/>
  <c r="BD45" i="1"/>
  <c r="BD44" i="1"/>
  <c r="BD43" i="1"/>
  <c r="BD42" i="1"/>
  <c r="CB42" i="1" s="1"/>
  <c r="BD41" i="1"/>
  <c r="CB41" i="1" s="1"/>
  <c r="BD40" i="1"/>
  <c r="CB40" i="1" s="1"/>
  <c r="BD39" i="1"/>
  <c r="BD38" i="1"/>
  <c r="BD37" i="1"/>
  <c r="CB37" i="1" s="1"/>
  <c r="BD36" i="1"/>
  <c r="BD35" i="1"/>
  <c r="BD34" i="1"/>
  <c r="CB34" i="1" s="1"/>
  <c r="BD33" i="1"/>
  <c r="BD30" i="1"/>
  <c r="BD25" i="1"/>
  <c r="BD24" i="1"/>
  <c r="BD21" i="1"/>
  <c r="BD20" i="1"/>
  <c r="BD18" i="1"/>
  <c r="BD17" i="1"/>
  <c r="BD16" i="1"/>
  <c r="BD15" i="1"/>
  <c r="BD14" i="1"/>
  <c r="BD13" i="1"/>
  <c r="BD12" i="1"/>
  <c r="BD11" i="1"/>
  <c r="BD10" i="1"/>
  <c r="BD9" i="1"/>
  <c r="AX57" i="1"/>
  <c r="BA57" i="1" s="1"/>
  <c r="AL57" i="1"/>
  <c r="AL55" i="1"/>
  <c r="AL54" i="1"/>
  <c r="AL53" i="1"/>
  <c r="AL45" i="1"/>
  <c r="BP8" i="1"/>
  <c r="BV8" i="1" s="1"/>
  <c r="BD8" i="1"/>
  <c r="AW279" i="1"/>
  <c r="AW278" i="1"/>
  <c r="AW276" i="1"/>
  <c r="AW275" i="1"/>
  <c r="AW274" i="1"/>
  <c r="AW272" i="1"/>
  <c r="AW271" i="1"/>
  <c r="AW270" i="1"/>
  <c r="AW267" i="1"/>
  <c r="AW265" i="1"/>
  <c r="AW264" i="1"/>
  <c r="AW261" i="1"/>
  <c r="AW260" i="1"/>
  <c r="AW259" i="1"/>
  <c r="AW258" i="1"/>
  <c r="AW243" i="1"/>
  <c r="AW241" i="1"/>
  <c r="AW240" i="1"/>
  <c r="AW239" i="1"/>
  <c r="AW238" i="1"/>
  <c r="AW237" i="1"/>
  <c r="AW236" i="1"/>
  <c r="AW234" i="1"/>
  <c r="AW230" i="1"/>
  <c r="AW228" i="1"/>
  <c r="AW226" i="1"/>
  <c r="AW222" i="1"/>
  <c r="AW216" i="1"/>
  <c r="AW214" i="1"/>
  <c r="AW213" i="1"/>
  <c r="AW208" i="1"/>
  <c r="AW205" i="1"/>
  <c r="AW204" i="1"/>
  <c r="AW203" i="1"/>
  <c r="AW202" i="1"/>
  <c r="AW201" i="1"/>
  <c r="AW198" i="1"/>
  <c r="AW196" i="1"/>
  <c r="AW195" i="1"/>
  <c r="AW194" i="1"/>
  <c r="AW182" i="1"/>
  <c r="AW181" i="1"/>
  <c r="AW177" i="1"/>
  <c r="AW176" i="1"/>
  <c r="AW172" i="1"/>
  <c r="AW160" i="1"/>
  <c r="AW156" i="1"/>
  <c r="AW154" i="1"/>
  <c r="AW152" i="1"/>
  <c r="AW142" i="1"/>
  <c r="AW140" i="1"/>
  <c r="AW139" i="1"/>
  <c r="AW138" i="1"/>
  <c r="AW136" i="1"/>
  <c r="AW135" i="1"/>
  <c r="AW134" i="1"/>
  <c r="AW126" i="1"/>
  <c r="AW121" i="1"/>
  <c r="AW119" i="1"/>
  <c r="AW118" i="1"/>
  <c r="AW109" i="1"/>
  <c r="AW100" i="1"/>
  <c r="AW97" i="1"/>
  <c r="AW88" i="1"/>
  <c r="AW85" i="1"/>
  <c r="AW82" i="1"/>
  <c r="AW76" i="1"/>
  <c r="AW72" i="1"/>
  <c r="AW69" i="1"/>
  <c r="AW67" i="1"/>
  <c r="AW66" i="1"/>
  <c r="AW62" i="1"/>
  <c r="AW50" i="1"/>
  <c r="AW42" i="1"/>
  <c r="AW39" i="1"/>
  <c r="AW28" i="1"/>
  <c r="AW24" i="1"/>
  <c r="AH8" i="1"/>
  <c r="AK237" i="1"/>
  <c r="AK236" i="1"/>
  <c r="AK232" i="1"/>
  <c r="AK222" i="1"/>
  <c r="AK221" i="1"/>
  <c r="AK220" i="1"/>
  <c r="AK219" i="1"/>
  <c r="AK209" i="1"/>
  <c r="AK202" i="1"/>
  <c r="AK151" i="1"/>
  <c r="AK146" i="1"/>
  <c r="AK105" i="1"/>
  <c r="AK101" i="1"/>
  <c r="AK60" i="1"/>
  <c r="AT113" i="1"/>
  <c r="AW113" i="1" s="1"/>
  <c r="AT117" i="1"/>
  <c r="AW117" i="1" s="1"/>
  <c r="AT128" i="1"/>
  <c r="AW128" i="1" s="1"/>
  <c r="AH115" i="1"/>
  <c r="AK115" i="1" s="1"/>
  <c r="AT125" i="1"/>
  <c r="AW125" i="1" s="1"/>
  <c r="AT124" i="1"/>
  <c r="AW124" i="1" s="1"/>
  <c r="AT123" i="1"/>
  <c r="AW123" i="1" s="1"/>
  <c r="AT122" i="1"/>
  <c r="AW122" i="1" s="1"/>
  <c r="AT120" i="1"/>
  <c r="AW120" i="1" s="1"/>
  <c r="AT116" i="1"/>
  <c r="AW116" i="1" s="1"/>
  <c r="AT115" i="1"/>
  <c r="AW115" i="1" s="1"/>
  <c r="AT114" i="1"/>
  <c r="AW114" i="1" s="1"/>
  <c r="AH121" i="1"/>
  <c r="AK121" i="1" s="1"/>
  <c r="AH120" i="1"/>
  <c r="AK120" i="1" s="1"/>
  <c r="AH117" i="1"/>
  <c r="AK117" i="1" s="1"/>
  <c r="AH116" i="1"/>
  <c r="AK116" i="1" s="1"/>
  <c r="AH114" i="1"/>
  <c r="AK114" i="1" s="1"/>
  <c r="AT63" i="1"/>
  <c r="AW63" i="1" s="1"/>
  <c r="AT61" i="1"/>
  <c r="AW61" i="1" s="1"/>
  <c r="AT232" i="1"/>
  <c r="AW232" i="1" s="1"/>
  <c r="AT233" i="1"/>
  <c r="AW233" i="1" s="1"/>
  <c r="AH235" i="1"/>
  <c r="AK235" i="1" s="1"/>
  <c r="AH233" i="1"/>
  <c r="AK233" i="1" s="1"/>
  <c r="AT256" i="1"/>
  <c r="AW256" i="1" s="1"/>
  <c r="AT255" i="1"/>
  <c r="AW255" i="1" s="1"/>
  <c r="AT253" i="1"/>
  <c r="AW253" i="1" s="1"/>
  <c r="AT252" i="1"/>
  <c r="AW252" i="1" s="1"/>
  <c r="AT251" i="1"/>
  <c r="AW251" i="1" s="1"/>
  <c r="AT248" i="1"/>
  <c r="AW248" i="1" s="1"/>
  <c r="AT247" i="1"/>
  <c r="AW247" i="1" s="1"/>
  <c r="AT246" i="1"/>
  <c r="AW246" i="1" s="1"/>
  <c r="AH248" i="1"/>
  <c r="AK248" i="1" s="1"/>
  <c r="AH247" i="1"/>
  <c r="AK247" i="1" s="1"/>
  <c r="AH246" i="1"/>
  <c r="AK246" i="1" s="1"/>
  <c r="AT219" i="1"/>
  <c r="AW219" i="1" s="1"/>
  <c r="AT225" i="1"/>
  <c r="AW225" i="1" s="1"/>
  <c r="AT224" i="1"/>
  <c r="AW224" i="1" s="1"/>
  <c r="AT223" i="1"/>
  <c r="AW223" i="1" s="1"/>
  <c r="AT221" i="1"/>
  <c r="AW221" i="1"/>
  <c r="AT220" i="1"/>
  <c r="AW220" i="1" s="1"/>
  <c r="AT218" i="1"/>
  <c r="AW218" i="1" s="1"/>
  <c r="AT210" i="1"/>
  <c r="AW210" i="1" s="1"/>
  <c r="AT209" i="1"/>
  <c r="AW209" i="1" s="1"/>
  <c r="AT207" i="1"/>
  <c r="AW207" i="1" s="1"/>
  <c r="AT206" i="1"/>
  <c r="AW206" i="1" s="1"/>
  <c r="AH201" i="1"/>
  <c r="AK201" i="1" s="1"/>
  <c r="AH200" i="1"/>
  <c r="AK200" i="1" s="1"/>
  <c r="AH199" i="1"/>
  <c r="AK199" i="1" s="1"/>
  <c r="AT193" i="1"/>
  <c r="AW193" i="1" s="1"/>
  <c r="AT192" i="1"/>
  <c r="AW192" i="1" s="1"/>
  <c r="AT191" i="1"/>
  <c r="AW191" i="1" s="1"/>
  <c r="AT190" i="1"/>
  <c r="AW190" i="1" s="1"/>
  <c r="AH190" i="1"/>
  <c r="AK190" i="1" s="1"/>
  <c r="AT189" i="1"/>
  <c r="AW189" i="1"/>
  <c r="AH189" i="1"/>
  <c r="AK189" i="1"/>
  <c r="AH188" i="1"/>
  <c r="AK188" i="1" s="1"/>
  <c r="AH187" i="1"/>
  <c r="AK187" i="1" s="1"/>
  <c r="AH185" i="1"/>
  <c r="AK185" i="1" s="1"/>
  <c r="AT137" i="1"/>
  <c r="AW137" i="1" s="1"/>
  <c r="AT111" i="1"/>
  <c r="AW111" i="1" s="1"/>
  <c r="AT108" i="1"/>
  <c r="AW108" i="1" s="1"/>
  <c r="AT107" i="1"/>
  <c r="AW107" i="1" s="1"/>
  <c r="AT106" i="1"/>
  <c r="AW106" i="1"/>
  <c r="AT105" i="1"/>
  <c r="AW105" i="1" s="1"/>
  <c r="AT104" i="1"/>
  <c r="AW104" i="1" s="1"/>
  <c r="AT103" i="1"/>
  <c r="AW103" i="1" s="1"/>
  <c r="AT102" i="1"/>
  <c r="AW102" i="1" s="1"/>
  <c r="AT101" i="1"/>
  <c r="AW101" i="1" s="1"/>
  <c r="AT99" i="1"/>
  <c r="AW99" i="1" s="1"/>
  <c r="AT98" i="1"/>
  <c r="AW98" i="1" s="1"/>
  <c r="AH104" i="1"/>
  <c r="AK104" i="1" s="1"/>
  <c r="AH102" i="1"/>
  <c r="AK102" i="1" s="1"/>
  <c r="AH99" i="1"/>
  <c r="AK99" i="1" s="1"/>
  <c r="AH98" i="1"/>
  <c r="AK98" i="1" s="1"/>
  <c r="AH72" i="1"/>
  <c r="AK72" i="1" s="1"/>
  <c r="AT74" i="1"/>
  <c r="AW74" i="1" s="1"/>
  <c r="AT75" i="1"/>
  <c r="AW75" i="1" s="1"/>
  <c r="AT78" i="1"/>
  <c r="AW78" i="1" s="1"/>
  <c r="AT80" i="1"/>
  <c r="AW80" i="1" s="1"/>
  <c r="AT83" i="1"/>
  <c r="AW83" i="1" s="1"/>
  <c r="AT86" i="1"/>
  <c r="AW86" i="1" s="1"/>
  <c r="AT87" i="1"/>
  <c r="AW87" i="1" s="1"/>
  <c r="AT89" i="1"/>
  <c r="AW89" i="1" s="1"/>
  <c r="AT90" i="1"/>
  <c r="AW90" i="1" s="1"/>
  <c r="AT92" i="1"/>
  <c r="AW92" i="1" s="1"/>
  <c r="AT95" i="1"/>
  <c r="AW95" i="1" s="1"/>
  <c r="AF66" i="1"/>
  <c r="AF67" i="1"/>
  <c r="AF68" i="1"/>
  <c r="AT19" i="1"/>
  <c r="AW19" i="1" s="1"/>
  <c r="AT16" i="1"/>
  <c r="AW16" i="1" s="1"/>
  <c r="AT15" i="1"/>
  <c r="AW15" i="1" s="1"/>
  <c r="AT14" i="1"/>
  <c r="AW14" i="1" s="1"/>
  <c r="AT12" i="1"/>
  <c r="AW12" i="1" s="1"/>
  <c r="AT11" i="1"/>
  <c r="AW11" i="1" s="1"/>
  <c r="AT10" i="1"/>
  <c r="AW10" i="1" s="1"/>
  <c r="AT9" i="1"/>
  <c r="AW9" i="1" s="1"/>
  <c r="AT8" i="1"/>
  <c r="AW8" i="1" s="1"/>
  <c r="AH12" i="1"/>
  <c r="AK12" i="1" s="1"/>
  <c r="AH11" i="1"/>
  <c r="AK11" i="1" s="1"/>
  <c r="AH10" i="1"/>
  <c r="AK10" i="1" s="1"/>
  <c r="AH9" i="1"/>
  <c r="AK9" i="1" s="1"/>
  <c r="W63" i="13"/>
  <c r="V63" i="13"/>
  <c r="U63" i="13"/>
  <c r="T63" i="13"/>
  <c r="S63" i="13"/>
  <c r="R63" i="13"/>
  <c r="Q63" i="13"/>
  <c r="P63" i="13"/>
  <c r="O63" i="13"/>
  <c r="N63" i="13"/>
  <c r="M63" i="13"/>
  <c r="L63" i="13"/>
  <c r="W62" i="13"/>
  <c r="V62" i="13"/>
  <c r="V64" i="13"/>
  <c r="U62" i="13"/>
  <c r="U64" i="13"/>
  <c r="T62" i="13"/>
  <c r="T64" i="13"/>
  <c r="S62" i="13"/>
  <c r="R62" i="13"/>
  <c r="R64" i="13"/>
  <c r="Q62" i="13"/>
  <c r="P62" i="13"/>
  <c r="P64" i="13"/>
  <c r="O62" i="13"/>
  <c r="N62" i="13"/>
  <c r="M62" i="13"/>
  <c r="M64" i="13"/>
  <c r="L62" i="13"/>
  <c r="Q66" i="13"/>
  <c r="Q64" i="13"/>
  <c r="W64" i="13"/>
  <c r="L65" i="13"/>
  <c r="S64" i="13"/>
  <c r="L64" i="13"/>
  <c r="T66" i="13"/>
  <c r="O64" i="13"/>
  <c r="W66" i="13"/>
  <c r="N64" i="13"/>
  <c r="O65" i="13"/>
  <c r="R65" i="13"/>
  <c r="N66" i="13"/>
  <c r="U65" i="13"/>
  <c r="AH172" i="1"/>
  <c r="AH170" i="1"/>
  <c r="AH162" i="1"/>
  <c r="AK162" i="1" s="1"/>
  <c r="N77" i="11"/>
  <c r="AH86" i="1"/>
  <c r="AK86" i="1" s="1"/>
  <c r="AT51" i="1"/>
  <c r="AW51" i="1" s="1"/>
  <c r="AT56" i="1"/>
  <c r="AW56" i="1" s="1"/>
  <c r="AT55" i="1"/>
  <c r="AW55" i="1" s="1"/>
  <c r="AT54" i="1"/>
  <c r="AW54" i="1" s="1"/>
  <c r="AT53" i="1"/>
  <c r="AW53" i="1" s="1"/>
  <c r="AT52" i="1"/>
  <c r="AW52" i="1" s="1"/>
  <c r="AT49" i="1"/>
  <c r="AW49" i="1" s="1"/>
  <c r="AT45" i="1"/>
  <c r="AW45" i="1" s="1"/>
  <c r="AT44" i="1"/>
  <c r="AW44" i="1" s="1"/>
  <c r="AT168" i="1"/>
  <c r="AW168" i="1" s="1"/>
  <c r="AT173" i="1"/>
  <c r="AW173" i="1" s="1"/>
  <c r="AT170" i="1"/>
  <c r="AW170" i="1" s="1"/>
  <c r="AH144" i="1"/>
  <c r="AK144" i="1" s="1"/>
  <c r="AT34" i="1"/>
  <c r="AW34" i="1" s="1"/>
  <c r="AT183" i="1"/>
  <c r="AW183" i="1" s="1"/>
  <c r="AT180" i="1"/>
  <c r="AW180" i="1" s="1"/>
  <c r="AT178" i="1"/>
  <c r="AW178" i="1" s="1"/>
  <c r="AT158" i="1"/>
  <c r="AW158" i="1" s="1"/>
  <c r="AT155" i="1"/>
  <c r="AW155" i="1" s="1"/>
  <c r="AT153" i="1"/>
  <c r="AW153" i="1" s="1"/>
  <c r="AT148" i="1"/>
  <c r="AW148" i="1" s="1"/>
  <c r="AH148" i="1"/>
  <c r="AK148" i="1" s="1"/>
  <c r="AT145" i="1"/>
  <c r="AW145" i="1"/>
  <c r="AT144" i="1"/>
  <c r="AW144" i="1" s="1"/>
  <c r="AT25" i="1"/>
  <c r="AW25" i="1" s="1"/>
  <c r="AT37" i="1"/>
  <c r="AW37" i="1" s="1"/>
  <c r="AT21" i="1"/>
  <c r="AW21" i="1" s="1"/>
  <c r="AT150" i="1"/>
  <c r="AW150" i="1" s="1"/>
  <c r="AH150" i="1"/>
  <c r="AK150" i="1" s="1"/>
  <c r="AT149" i="1"/>
  <c r="AW149" i="1" s="1"/>
  <c r="AH149" i="1"/>
  <c r="AK149" i="1" s="1"/>
  <c r="AH145" i="1"/>
  <c r="AK145" i="1" s="1"/>
  <c r="AH89" i="1"/>
  <c r="AK89" i="1" s="1"/>
  <c r="AH87" i="1"/>
  <c r="AK87" i="1" s="1"/>
  <c r="AH77" i="1"/>
  <c r="AK77" i="1" s="1"/>
  <c r="AF271" i="1"/>
  <c r="AR271" i="1"/>
  <c r="CV271" i="1"/>
  <c r="CV273" i="1"/>
  <c r="AR273" i="1"/>
  <c r="AX273" i="1" s="1"/>
  <c r="BB273" i="1" s="1"/>
  <c r="AF273" i="1"/>
  <c r="CV272" i="1"/>
  <c r="AR272" i="1"/>
  <c r="AX272" i="1" s="1"/>
  <c r="AF272" i="1"/>
  <c r="CV280" i="1"/>
  <c r="AR280" i="1"/>
  <c r="AX280" i="1" s="1"/>
  <c r="BA280" i="1" s="1"/>
  <c r="AF280" i="1"/>
  <c r="AF279" i="1"/>
  <c r="CV278" i="1"/>
  <c r="AR278" i="1"/>
  <c r="AF278" i="1"/>
  <c r="CV277" i="1"/>
  <c r="AR277" i="1"/>
  <c r="AX277" i="1" s="1"/>
  <c r="BA277" i="1" s="1"/>
  <c r="AF277" i="1"/>
  <c r="CV276" i="1"/>
  <c r="AR276" i="1"/>
  <c r="AX276" i="1" s="1"/>
  <c r="BB276" i="1" s="1"/>
  <c r="AF276" i="1"/>
  <c r="CV275" i="1"/>
  <c r="AR275" i="1"/>
  <c r="AX275" i="1" s="1"/>
  <c r="AF275" i="1"/>
  <c r="CV274" i="1"/>
  <c r="AR274" i="1"/>
  <c r="AX274" i="1" s="1"/>
  <c r="AZ274" i="1" s="1"/>
  <c r="AF274" i="1"/>
  <c r="CV270" i="1"/>
  <c r="AR270" i="1"/>
  <c r="AX270" i="1" s="1"/>
  <c r="AF270" i="1"/>
  <c r="CV269" i="1"/>
  <c r="AR269" i="1"/>
  <c r="AX269" i="1" s="1"/>
  <c r="AF269" i="1"/>
  <c r="AR9" i="1"/>
  <c r="AR10" i="1"/>
  <c r="AR11" i="1"/>
  <c r="AR12" i="1"/>
  <c r="AR13" i="1"/>
  <c r="AX13" i="1" s="1"/>
  <c r="AR14" i="1"/>
  <c r="AR15" i="1"/>
  <c r="AR16" i="1"/>
  <c r="AR17" i="1"/>
  <c r="AR18" i="1"/>
  <c r="AX18" i="1" s="1"/>
  <c r="BB18" i="1" s="1"/>
  <c r="AR20" i="1"/>
  <c r="AX20" i="1" s="1"/>
  <c r="BA20" i="1" s="1"/>
  <c r="AR21" i="1"/>
  <c r="AR24" i="1"/>
  <c r="AX24" i="1" s="1"/>
  <c r="BB24" i="1" s="1"/>
  <c r="AR25" i="1"/>
  <c r="AR30" i="1"/>
  <c r="AX30" i="1" s="1"/>
  <c r="BB30" i="1" s="1"/>
  <c r="AR31" i="1"/>
  <c r="AR32" i="1"/>
  <c r="AR33" i="1"/>
  <c r="AX33" i="1" s="1"/>
  <c r="BB33" i="1" s="1"/>
  <c r="AR34" i="1"/>
  <c r="AR35" i="1"/>
  <c r="AX35" i="1" s="1"/>
  <c r="AR36" i="1"/>
  <c r="AX36" i="1" s="1"/>
  <c r="AR37" i="1"/>
  <c r="AR38" i="1"/>
  <c r="AR39" i="1"/>
  <c r="AX39" i="1" s="1"/>
  <c r="BA39" i="1" s="1"/>
  <c r="AR40" i="1"/>
  <c r="AX40" i="1" s="1"/>
  <c r="BB40" i="1" s="1"/>
  <c r="AR41" i="1"/>
  <c r="AX41" i="1" s="1"/>
  <c r="BA41" i="1" s="1"/>
  <c r="AR42" i="1"/>
  <c r="AX42" i="1" s="1"/>
  <c r="BA42" i="1" s="1"/>
  <c r="AR43" i="1"/>
  <c r="AX43" i="1" s="1"/>
  <c r="AR44" i="1"/>
  <c r="AR45" i="1"/>
  <c r="CC45" i="1" s="1"/>
  <c r="AR46" i="1"/>
  <c r="AR47" i="1"/>
  <c r="AR48" i="1"/>
  <c r="AX48" i="1" s="1"/>
  <c r="BB48" i="1" s="1"/>
  <c r="AR49" i="1"/>
  <c r="AR50" i="1"/>
  <c r="AX50" i="1" s="1"/>
  <c r="AZ50" i="1" s="1"/>
  <c r="AR51" i="1"/>
  <c r="AR52" i="1"/>
  <c r="AR53" i="1"/>
  <c r="CC53" i="1" s="1"/>
  <c r="AR54" i="1"/>
  <c r="CC54" i="1" s="1"/>
  <c r="AR55" i="1"/>
  <c r="CC55" i="1" s="1"/>
  <c r="AR58" i="1"/>
  <c r="AR59" i="1"/>
  <c r="AR60" i="1"/>
  <c r="AR62" i="1"/>
  <c r="AX62" i="1" s="1"/>
  <c r="BA62" i="1" s="1"/>
  <c r="AR63" i="1"/>
  <c r="AR64" i="1"/>
  <c r="AR65" i="1"/>
  <c r="AR66" i="1"/>
  <c r="AX66" i="1" s="1"/>
  <c r="BA66" i="1" s="1"/>
  <c r="AR67" i="1"/>
  <c r="AR68" i="1"/>
  <c r="AR70" i="1"/>
  <c r="AR71" i="1"/>
  <c r="AR72" i="1"/>
  <c r="AX72" i="1" s="1"/>
  <c r="AR73" i="1"/>
  <c r="AX73" i="1" s="1"/>
  <c r="BA73" i="1" s="1"/>
  <c r="AR74" i="1"/>
  <c r="AR75" i="1"/>
  <c r="AR76" i="1"/>
  <c r="AX76" i="1" s="1"/>
  <c r="AR77" i="1"/>
  <c r="AR78" i="1"/>
  <c r="AR79" i="1"/>
  <c r="AX79" i="1" s="1"/>
  <c r="BA79" i="1" s="1"/>
  <c r="AR80" i="1"/>
  <c r="AR81" i="1"/>
  <c r="AR82" i="1"/>
  <c r="AX82" i="1" s="1"/>
  <c r="AZ82" i="1" s="1"/>
  <c r="AR84" i="1"/>
  <c r="AX84" i="1" s="1"/>
  <c r="BA84" i="1" s="1"/>
  <c r="AR85" i="1"/>
  <c r="AX85" i="1" s="1"/>
  <c r="BA85" i="1" s="1"/>
  <c r="AR86" i="1"/>
  <c r="AR87" i="1"/>
  <c r="AR88" i="1"/>
  <c r="AX88" i="1" s="1"/>
  <c r="AZ88" i="1" s="1"/>
  <c r="AR89" i="1"/>
  <c r="AR90" i="1"/>
  <c r="AR91" i="1"/>
  <c r="AR92" i="1"/>
  <c r="AR93" i="1"/>
  <c r="AX93" i="1" s="1"/>
  <c r="AR94" i="1"/>
  <c r="AX94" i="1" s="1"/>
  <c r="BB94" i="1" s="1"/>
  <c r="AR96" i="1"/>
  <c r="AX96" i="1" s="1"/>
  <c r="BA96" i="1" s="1"/>
  <c r="AR97" i="1"/>
  <c r="AX97" i="1" s="1"/>
  <c r="BB97" i="1" s="1"/>
  <c r="AR98" i="1"/>
  <c r="AR99" i="1"/>
  <c r="AR100" i="1"/>
  <c r="AX100" i="1" s="1"/>
  <c r="AR101" i="1"/>
  <c r="AR102" i="1"/>
  <c r="AR103" i="1"/>
  <c r="AR104" i="1"/>
  <c r="AR105" i="1"/>
  <c r="AR106" i="1"/>
  <c r="AR107" i="1"/>
  <c r="AR108" i="1"/>
  <c r="AR109" i="1"/>
  <c r="AX109" i="1" s="1"/>
  <c r="AR110" i="1"/>
  <c r="AX110" i="1" s="1"/>
  <c r="AR112" i="1"/>
  <c r="AX112" i="1" s="1"/>
  <c r="AR113" i="1"/>
  <c r="AR114" i="1"/>
  <c r="AR115" i="1"/>
  <c r="AR116" i="1"/>
  <c r="AR117" i="1"/>
  <c r="AR118" i="1"/>
  <c r="AX118" i="1" s="1"/>
  <c r="BB118" i="1" s="1"/>
  <c r="AR119" i="1"/>
  <c r="AX119" i="1" s="1"/>
  <c r="BA119" i="1" s="1"/>
  <c r="AR120" i="1"/>
  <c r="AR121" i="1"/>
  <c r="AR122" i="1"/>
  <c r="AR123" i="1"/>
  <c r="AR124" i="1"/>
  <c r="AR125" i="1"/>
  <c r="AR126" i="1"/>
  <c r="AX126" i="1" s="1"/>
  <c r="AR127" i="1"/>
  <c r="AX127" i="1" s="1"/>
  <c r="BA127" i="1" s="1"/>
  <c r="AR129" i="1"/>
  <c r="AX129" i="1" s="1"/>
  <c r="AR130" i="1"/>
  <c r="AX130" i="1" s="1"/>
  <c r="BB130" i="1" s="1"/>
  <c r="AR131" i="1"/>
  <c r="AX131" i="1" s="1"/>
  <c r="AR132" i="1"/>
  <c r="AX132" i="1" s="1"/>
  <c r="BB132" i="1" s="1"/>
  <c r="AR133" i="1"/>
  <c r="AX133" i="1" s="1"/>
  <c r="BA133" i="1" s="1"/>
  <c r="AR134" i="1"/>
  <c r="AX134" i="1" s="1"/>
  <c r="BB134" i="1" s="1"/>
  <c r="AR135" i="1"/>
  <c r="AX135" i="1" s="1"/>
  <c r="BA135" i="1" s="1"/>
  <c r="AR136" i="1"/>
  <c r="AR137" i="1"/>
  <c r="AR138" i="1"/>
  <c r="AR139" i="1"/>
  <c r="AX139" i="1" s="1"/>
  <c r="BA139" i="1" s="1"/>
  <c r="AR140" i="1"/>
  <c r="AX140" i="1" s="1"/>
  <c r="AZ140" i="1" s="1"/>
  <c r="AR141" i="1"/>
  <c r="AX141" i="1" s="1"/>
  <c r="AR142" i="1"/>
  <c r="AX142" i="1" s="1"/>
  <c r="BA142" i="1" s="1"/>
  <c r="AR143" i="1"/>
  <c r="AX143" i="1" s="1"/>
  <c r="BA143" i="1" s="1"/>
  <c r="AR144" i="1"/>
  <c r="AR145" i="1"/>
  <c r="AR146" i="1"/>
  <c r="AX146" i="1" s="1"/>
  <c r="BB146" i="1" s="1"/>
  <c r="AR147" i="1"/>
  <c r="AX147" i="1" s="1"/>
  <c r="AR148" i="1"/>
  <c r="AR149" i="1"/>
  <c r="AR150" i="1"/>
  <c r="AR151" i="1"/>
  <c r="AX151" i="1" s="1"/>
  <c r="AR152" i="1"/>
  <c r="AX152" i="1" s="1"/>
  <c r="AZ152" i="1" s="1"/>
  <c r="AR153" i="1"/>
  <c r="AR154" i="1"/>
  <c r="AX154" i="1" s="1"/>
  <c r="AR155" i="1"/>
  <c r="AR156" i="1"/>
  <c r="AX156" i="1" s="1"/>
  <c r="AR157" i="1"/>
  <c r="AX157" i="1" s="1"/>
  <c r="BB157" i="1" s="1"/>
  <c r="AR159" i="1"/>
  <c r="AX159" i="1" s="1"/>
  <c r="BB159" i="1" s="1"/>
  <c r="AR160" i="1"/>
  <c r="AX160" i="1" s="1"/>
  <c r="BA160" i="1" s="1"/>
  <c r="AR161" i="1"/>
  <c r="AR162" i="1"/>
  <c r="AR163" i="1"/>
  <c r="AR164" i="1"/>
  <c r="AR165" i="1"/>
  <c r="AR168" i="1"/>
  <c r="AR169" i="1"/>
  <c r="AR170" i="1"/>
  <c r="AR171" i="1"/>
  <c r="AX171" i="1" s="1"/>
  <c r="AZ171" i="1" s="1"/>
  <c r="AR172" i="1"/>
  <c r="AX172" i="1" s="1"/>
  <c r="AZ172" i="1" s="1"/>
  <c r="AR174" i="1"/>
  <c r="AX174" i="1" s="1"/>
  <c r="BB174" i="1" s="1"/>
  <c r="AR175" i="1"/>
  <c r="AX175" i="1" s="1"/>
  <c r="BA175" i="1" s="1"/>
  <c r="AR176" i="1"/>
  <c r="AX176" i="1" s="1"/>
  <c r="BA176" i="1" s="1"/>
  <c r="AR177" i="1"/>
  <c r="AX177" i="1" s="1"/>
  <c r="AR178" i="1"/>
  <c r="AR179" i="1"/>
  <c r="AR180" i="1"/>
  <c r="AR181" i="1"/>
  <c r="AX181" i="1" s="1"/>
  <c r="BA181" i="1" s="1"/>
  <c r="AR182" i="1"/>
  <c r="AX182" i="1" s="1"/>
  <c r="BA182" i="1" s="1"/>
  <c r="AR184" i="1"/>
  <c r="AX184" i="1" s="1"/>
  <c r="AR185" i="1"/>
  <c r="AR186" i="1"/>
  <c r="AR187" i="1"/>
  <c r="AR188" i="1"/>
  <c r="AR189" i="1"/>
  <c r="AR190" i="1"/>
  <c r="AR191" i="1"/>
  <c r="AR192" i="1"/>
  <c r="AR193" i="1"/>
  <c r="AR194" i="1"/>
  <c r="AX194" i="1" s="1"/>
  <c r="BA194" i="1" s="1"/>
  <c r="AR195" i="1"/>
  <c r="AX195" i="1" s="1"/>
  <c r="AZ195" i="1" s="1"/>
  <c r="AR197" i="1"/>
  <c r="AX197" i="1" s="1"/>
  <c r="BA197" i="1" s="1"/>
  <c r="AR199" i="1"/>
  <c r="AR200" i="1"/>
  <c r="AX200" i="1" s="1"/>
  <c r="AR201" i="1"/>
  <c r="AX201" i="1" s="1"/>
  <c r="AR202" i="1"/>
  <c r="AX202" i="1" s="1"/>
  <c r="BB202" i="1" s="1"/>
  <c r="AR203" i="1"/>
  <c r="AX203" i="1" s="1"/>
  <c r="AZ203" i="1" s="1"/>
  <c r="AR204" i="1"/>
  <c r="AX204" i="1" s="1"/>
  <c r="AZ204" i="1" s="1"/>
  <c r="AR208" i="1"/>
  <c r="AX208" i="1" s="1"/>
  <c r="AZ208" i="1" s="1"/>
  <c r="AR209" i="1"/>
  <c r="AR210" i="1"/>
  <c r="AR211" i="1"/>
  <c r="AR212" i="1"/>
  <c r="AR213" i="1"/>
  <c r="AX213" i="1" s="1"/>
  <c r="BA213" i="1" s="1"/>
  <c r="AR214" i="1"/>
  <c r="AX214" i="1" s="1"/>
  <c r="AR215" i="1"/>
  <c r="AX215" i="1" s="1"/>
  <c r="AR217" i="1"/>
  <c r="AX217" i="1" s="1"/>
  <c r="BA217" i="1" s="1"/>
  <c r="AR218" i="1"/>
  <c r="AR219" i="1"/>
  <c r="AR220" i="1"/>
  <c r="AR221" i="1"/>
  <c r="AR222" i="1"/>
  <c r="AX222" i="1" s="1"/>
  <c r="AZ222" i="1" s="1"/>
  <c r="AR223" i="1"/>
  <c r="AR224" i="1"/>
  <c r="AR225" i="1"/>
  <c r="AR226" i="1"/>
  <c r="AR227" i="1"/>
  <c r="AX227" i="1" s="1"/>
  <c r="BB227" i="1" s="1"/>
  <c r="AR229" i="1"/>
  <c r="AX229" i="1" s="1"/>
  <c r="AR230" i="1"/>
  <c r="AX230" i="1" s="1"/>
  <c r="BB230" i="1" s="1"/>
  <c r="AR231" i="1"/>
  <c r="AX231" i="1" s="1"/>
  <c r="BB231" i="1" s="1"/>
  <c r="AR232" i="1"/>
  <c r="AR233" i="1"/>
  <c r="AR234" i="1"/>
  <c r="AX234" i="1" s="1"/>
  <c r="BB234" i="1" s="1"/>
  <c r="AR235" i="1"/>
  <c r="AX235" i="1" s="1"/>
  <c r="AZ235" i="1" s="1"/>
  <c r="AR236" i="1"/>
  <c r="AR237" i="1"/>
  <c r="AR238" i="1"/>
  <c r="AX238" i="1" s="1"/>
  <c r="AR239" i="1"/>
  <c r="AX239" i="1" s="1"/>
  <c r="BB239" i="1" s="1"/>
  <c r="AR240" i="1"/>
  <c r="AX240" i="1" s="1"/>
  <c r="AZ240" i="1" s="1"/>
  <c r="AR241" i="1"/>
  <c r="AX241" i="1" s="1"/>
  <c r="AZ241" i="1" s="1"/>
  <c r="AR242" i="1"/>
  <c r="AX242" i="1" s="1"/>
  <c r="AR243" i="1"/>
  <c r="AX243" i="1" s="1"/>
  <c r="AZ243" i="1" s="1"/>
  <c r="AR244" i="1"/>
  <c r="AX244" i="1" s="1"/>
  <c r="AR245" i="1"/>
  <c r="AX245" i="1" s="1"/>
  <c r="BB245" i="1" s="1"/>
  <c r="AR246" i="1"/>
  <c r="AR247" i="1"/>
  <c r="AR248" i="1"/>
  <c r="AR249" i="1"/>
  <c r="AX249" i="1" s="1"/>
  <c r="AR250" i="1"/>
  <c r="AX250" i="1" s="1"/>
  <c r="AZ250" i="1" s="1"/>
  <c r="AR251" i="1"/>
  <c r="AR252" i="1"/>
  <c r="AR253" i="1"/>
  <c r="AR254" i="1"/>
  <c r="AX254" i="1" s="1"/>
  <c r="AZ254" i="1" s="1"/>
  <c r="AR255" i="1"/>
  <c r="AR257" i="1"/>
  <c r="AX257" i="1" s="1"/>
  <c r="AZ257" i="1" s="1"/>
  <c r="AR258" i="1"/>
  <c r="AX258" i="1" s="1"/>
  <c r="AR259" i="1"/>
  <c r="AX259" i="1" s="1"/>
  <c r="BB259" i="1" s="1"/>
  <c r="AR260" i="1"/>
  <c r="AX260" i="1" s="1"/>
  <c r="AZ260" i="1" s="1"/>
  <c r="AR261" i="1"/>
  <c r="AX261" i="1" s="1"/>
  <c r="AR262" i="1"/>
  <c r="AR263" i="1"/>
  <c r="AR264" i="1"/>
  <c r="AX264" i="1" s="1"/>
  <c r="AR265" i="1"/>
  <c r="AX265" i="1" s="1"/>
  <c r="BA265" i="1" s="1"/>
  <c r="AR266" i="1"/>
  <c r="AR268" i="1"/>
  <c r="AX268" i="1" s="1"/>
  <c r="AZ268" i="1" s="1"/>
  <c r="AR8" i="1"/>
  <c r="AF9" i="1"/>
  <c r="AF10" i="1"/>
  <c r="AF11" i="1"/>
  <c r="AF12" i="1"/>
  <c r="AF13" i="1"/>
  <c r="AF14" i="1"/>
  <c r="AF15" i="1"/>
  <c r="AF16" i="1"/>
  <c r="AF17" i="1"/>
  <c r="AF18" i="1"/>
  <c r="AF19" i="1"/>
  <c r="AF20" i="1"/>
  <c r="AF21" i="1"/>
  <c r="AF22" i="1"/>
  <c r="CC22" i="1" s="1"/>
  <c r="CF22" i="1" s="1"/>
  <c r="AF23" i="1"/>
  <c r="CC23" i="1" s="1"/>
  <c r="CF23" i="1" s="1"/>
  <c r="AF24" i="1"/>
  <c r="AF25" i="1"/>
  <c r="AF26" i="1"/>
  <c r="CC26" i="1" s="1"/>
  <c r="CF26" i="1" s="1"/>
  <c r="AF27" i="1"/>
  <c r="CC27" i="1" s="1"/>
  <c r="CF27" i="1" s="1"/>
  <c r="AF28" i="1"/>
  <c r="AF29" i="1"/>
  <c r="CC29" i="1" s="1"/>
  <c r="CF29" i="1" s="1"/>
  <c r="AF30" i="1"/>
  <c r="AF31" i="1"/>
  <c r="AF32" i="1"/>
  <c r="AF33" i="1"/>
  <c r="AF34" i="1"/>
  <c r="AF35" i="1"/>
  <c r="AF36" i="1"/>
  <c r="AF37" i="1"/>
  <c r="AF38" i="1"/>
  <c r="AF39" i="1"/>
  <c r="AF40" i="1"/>
  <c r="AF41" i="1"/>
  <c r="AF42" i="1"/>
  <c r="AF43" i="1"/>
  <c r="AF44" i="1"/>
  <c r="AF46" i="1"/>
  <c r="AF47" i="1"/>
  <c r="AF48" i="1"/>
  <c r="AF49" i="1"/>
  <c r="AF50" i="1"/>
  <c r="AF51" i="1"/>
  <c r="AF52" i="1"/>
  <c r="AF56" i="1"/>
  <c r="AF58" i="1"/>
  <c r="AF59" i="1"/>
  <c r="AF60" i="1"/>
  <c r="AF61" i="1"/>
  <c r="AF62" i="1"/>
  <c r="AF63" i="1"/>
  <c r="AF64" i="1"/>
  <c r="AF65" i="1"/>
  <c r="AF69" i="1"/>
  <c r="AF70" i="1"/>
  <c r="AF71" i="1"/>
  <c r="AF72" i="1"/>
  <c r="AF73" i="1"/>
  <c r="AF74" i="1"/>
  <c r="AF75" i="1"/>
  <c r="AF76" i="1"/>
  <c r="AF77" i="1"/>
  <c r="AF78" i="1"/>
  <c r="AF79" i="1"/>
  <c r="AF80" i="1"/>
  <c r="AF81" i="1"/>
  <c r="AF82" i="1"/>
  <c r="AF83" i="1"/>
  <c r="AF84" i="1"/>
  <c r="AF85" i="1"/>
  <c r="AF86" i="1"/>
  <c r="AF87" i="1"/>
  <c r="AF88" i="1"/>
  <c r="AF89" i="1"/>
  <c r="AF90" i="1"/>
  <c r="AF91" i="1"/>
  <c r="AF92" i="1"/>
  <c r="AF93" i="1"/>
  <c r="AF94" i="1"/>
  <c r="AF95" i="1"/>
  <c r="AF96" i="1"/>
  <c r="AF97" i="1"/>
  <c r="AF98" i="1"/>
  <c r="AF99" i="1"/>
  <c r="AF100" i="1"/>
  <c r="AF101" i="1"/>
  <c r="AF102" i="1"/>
  <c r="AF103" i="1"/>
  <c r="AF104" i="1"/>
  <c r="AF105" i="1"/>
  <c r="AF106" i="1"/>
  <c r="AF107" i="1"/>
  <c r="AF108" i="1"/>
  <c r="AF109" i="1"/>
  <c r="AF110" i="1"/>
  <c r="AF111" i="1"/>
  <c r="AF112" i="1"/>
  <c r="AF113" i="1"/>
  <c r="AF114" i="1"/>
  <c r="AF115" i="1"/>
  <c r="AF116" i="1"/>
  <c r="AF117" i="1"/>
  <c r="AF118" i="1"/>
  <c r="AF119" i="1"/>
  <c r="AF120" i="1"/>
  <c r="AF121" i="1"/>
  <c r="AF122" i="1"/>
  <c r="AF123" i="1"/>
  <c r="AF124" i="1"/>
  <c r="AF125" i="1"/>
  <c r="AF126" i="1"/>
  <c r="AF127" i="1"/>
  <c r="AF128" i="1"/>
  <c r="AF129" i="1"/>
  <c r="AF130" i="1"/>
  <c r="AF131" i="1"/>
  <c r="AF132" i="1"/>
  <c r="AF133" i="1"/>
  <c r="AF134" i="1"/>
  <c r="AF135" i="1"/>
  <c r="AF136" i="1"/>
  <c r="AF137" i="1"/>
  <c r="AF138" i="1"/>
  <c r="AF139" i="1"/>
  <c r="AF140" i="1"/>
  <c r="AF141" i="1"/>
  <c r="AF142" i="1"/>
  <c r="AF143" i="1"/>
  <c r="AF144" i="1"/>
  <c r="AF145" i="1"/>
  <c r="AF146" i="1"/>
  <c r="AF147" i="1"/>
  <c r="AF148" i="1"/>
  <c r="AF149" i="1"/>
  <c r="AF150" i="1"/>
  <c r="AF151" i="1"/>
  <c r="AF152" i="1"/>
  <c r="AF153" i="1"/>
  <c r="AF154" i="1"/>
  <c r="AF155" i="1"/>
  <c r="AF156" i="1"/>
  <c r="AF157" i="1"/>
  <c r="AF158" i="1"/>
  <c r="AF159" i="1"/>
  <c r="AF160" i="1"/>
  <c r="AF161" i="1"/>
  <c r="AF162" i="1"/>
  <c r="AF163" i="1"/>
  <c r="AF164" i="1"/>
  <c r="AF165" i="1"/>
  <c r="AF167" i="1"/>
  <c r="AF168" i="1"/>
  <c r="AF169" i="1"/>
  <c r="AF170" i="1"/>
  <c r="AF171" i="1"/>
  <c r="AF172" i="1"/>
  <c r="AF173" i="1"/>
  <c r="AF174" i="1"/>
  <c r="AF175" i="1"/>
  <c r="AF176" i="1"/>
  <c r="AF177" i="1"/>
  <c r="AF178" i="1"/>
  <c r="AF179" i="1"/>
  <c r="AF180" i="1"/>
  <c r="AF181" i="1"/>
  <c r="AF182" i="1"/>
  <c r="AF183" i="1"/>
  <c r="AF184" i="1"/>
  <c r="AF185" i="1"/>
  <c r="AF186" i="1"/>
  <c r="AF187" i="1"/>
  <c r="AF188" i="1"/>
  <c r="AF189" i="1"/>
  <c r="AF190" i="1"/>
  <c r="AF191" i="1"/>
  <c r="AF192" i="1"/>
  <c r="AF193" i="1"/>
  <c r="AF194" i="1"/>
  <c r="AF195" i="1"/>
  <c r="AF196" i="1"/>
  <c r="AF197" i="1"/>
  <c r="AF198" i="1"/>
  <c r="AF199" i="1"/>
  <c r="AF200" i="1"/>
  <c r="AF201" i="1"/>
  <c r="AF202" i="1"/>
  <c r="AF208" i="1"/>
  <c r="AF209" i="1"/>
  <c r="AF210" i="1"/>
  <c r="AF211" i="1"/>
  <c r="AF212" i="1"/>
  <c r="AF213" i="1"/>
  <c r="AF214" i="1"/>
  <c r="AF215" i="1"/>
  <c r="AF216" i="1"/>
  <c r="AF217" i="1"/>
  <c r="AF218" i="1"/>
  <c r="AF219" i="1"/>
  <c r="AF220" i="1"/>
  <c r="AF221" i="1"/>
  <c r="AF222" i="1"/>
  <c r="AF223" i="1"/>
  <c r="AF224" i="1"/>
  <c r="AF225" i="1"/>
  <c r="AF226" i="1"/>
  <c r="AF227" i="1"/>
  <c r="AF228" i="1"/>
  <c r="AF229" i="1"/>
  <c r="AF230" i="1"/>
  <c r="AF231" i="1"/>
  <c r="AF232" i="1"/>
  <c r="AF233" i="1"/>
  <c r="AF234" i="1"/>
  <c r="AF235" i="1"/>
  <c r="AF236" i="1"/>
  <c r="AF237" i="1"/>
  <c r="AF238" i="1"/>
  <c r="AF239" i="1"/>
  <c r="AF240" i="1"/>
  <c r="AF241" i="1"/>
  <c r="AF242" i="1"/>
  <c r="AF243" i="1"/>
  <c r="AF244" i="1"/>
  <c r="AF245" i="1"/>
  <c r="AF246" i="1"/>
  <c r="AF247" i="1"/>
  <c r="AF248" i="1"/>
  <c r="AF249" i="1"/>
  <c r="AF250" i="1"/>
  <c r="AF251" i="1"/>
  <c r="AF252" i="1"/>
  <c r="AF253" i="1"/>
  <c r="AF254" i="1"/>
  <c r="AF255" i="1"/>
  <c r="AF256" i="1"/>
  <c r="AF257" i="1"/>
  <c r="AF258" i="1"/>
  <c r="AF259" i="1"/>
  <c r="AF260" i="1"/>
  <c r="AF261" i="1"/>
  <c r="AF262" i="1"/>
  <c r="AF263" i="1"/>
  <c r="AF264" i="1"/>
  <c r="AF265" i="1"/>
  <c r="AF266" i="1"/>
  <c r="AF267" i="1"/>
  <c r="AF268" i="1"/>
  <c r="AF8" i="1"/>
  <c r="CV34" i="1"/>
  <c r="CV35" i="1"/>
  <c r="CV36" i="1"/>
  <c r="CV9" i="1"/>
  <c r="CV10" i="1"/>
  <c r="CV11" i="1"/>
  <c r="CV12" i="1"/>
  <c r="CV13" i="1"/>
  <c r="CV14" i="1"/>
  <c r="CV15" i="1"/>
  <c r="CV16" i="1"/>
  <c r="CV17" i="1"/>
  <c r="CV18" i="1"/>
  <c r="CV20" i="1"/>
  <c r="CV21" i="1"/>
  <c r="CV22" i="1"/>
  <c r="CV23" i="1"/>
  <c r="CV25" i="1"/>
  <c r="CV26" i="1"/>
  <c r="CV27" i="1"/>
  <c r="CV29" i="1"/>
  <c r="CV30" i="1"/>
  <c r="CV31" i="1"/>
  <c r="CV32" i="1"/>
  <c r="CV33" i="1"/>
  <c r="CV37" i="1"/>
  <c r="CV38" i="1"/>
  <c r="CV39" i="1"/>
  <c r="CV40" i="1"/>
  <c r="CV41" i="1"/>
  <c r="CV43" i="1"/>
  <c r="CV44" i="1"/>
  <c r="CV45" i="1"/>
  <c r="CV46" i="1"/>
  <c r="CV47" i="1"/>
  <c r="CV48" i="1"/>
  <c r="CV49" i="1"/>
  <c r="CV50" i="1"/>
  <c r="CV51" i="1"/>
  <c r="CV52" i="1"/>
  <c r="CV53" i="1"/>
  <c r="CV54" i="1"/>
  <c r="CV55" i="1"/>
  <c r="CV57" i="1"/>
  <c r="CV58" i="1"/>
  <c r="CV59" i="1"/>
  <c r="CV60" i="1"/>
  <c r="CV62" i="1"/>
  <c r="CV63" i="1"/>
  <c r="CV64" i="1"/>
  <c r="CV65" i="1"/>
  <c r="CV66" i="1"/>
  <c r="CV67" i="1"/>
  <c r="CV68" i="1"/>
  <c r="CV70" i="1"/>
  <c r="CV71" i="1"/>
  <c r="CV72" i="1"/>
  <c r="CV73" i="1"/>
  <c r="CV74" i="1"/>
  <c r="CV75" i="1"/>
  <c r="CV76" i="1"/>
  <c r="CV77" i="1"/>
  <c r="CV78" i="1"/>
  <c r="CV79" i="1"/>
  <c r="CV80" i="1"/>
  <c r="CV81" i="1"/>
  <c r="CV82" i="1"/>
  <c r="CV84" i="1"/>
  <c r="CV85" i="1"/>
  <c r="CV86" i="1"/>
  <c r="CV87" i="1"/>
  <c r="CV88" i="1"/>
  <c r="CV89" i="1"/>
  <c r="CV90" i="1"/>
  <c r="CV91" i="1"/>
  <c r="CV92" i="1"/>
  <c r="CV93" i="1"/>
  <c r="CV94" i="1"/>
  <c r="CV96" i="1"/>
  <c r="CV97" i="1"/>
  <c r="CV98" i="1"/>
  <c r="CV99" i="1"/>
  <c r="CV100" i="1"/>
  <c r="CV101" i="1"/>
  <c r="CV102" i="1"/>
  <c r="CV103" i="1"/>
  <c r="CV104" i="1"/>
  <c r="CV105" i="1"/>
  <c r="CV106" i="1"/>
  <c r="CV107" i="1"/>
  <c r="CV108" i="1"/>
  <c r="CV109" i="1"/>
  <c r="CV110" i="1"/>
  <c r="CV112" i="1"/>
  <c r="CV113" i="1"/>
  <c r="CV114" i="1"/>
  <c r="CV115" i="1"/>
  <c r="CV116" i="1"/>
  <c r="CV117" i="1"/>
  <c r="CV118" i="1"/>
  <c r="CV119" i="1"/>
  <c r="CV120" i="1"/>
  <c r="CV121" i="1"/>
  <c r="CV122" i="1"/>
  <c r="CV123" i="1"/>
  <c r="CV124" i="1"/>
  <c r="CV125" i="1"/>
  <c r="CV126" i="1"/>
  <c r="CV127" i="1"/>
  <c r="CV129" i="1"/>
  <c r="CV130" i="1"/>
  <c r="CV131" i="1"/>
  <c r="CV132" i="1"/>
  <c r="CV133" i="1"/>
  <c r="CV134" i="1"/>
  <c r="CV135" i="1"/>
  <c r="CV137" i="1"/>
  <c r="CV138" i="1"/>
  <c r="CV139" i="1"/>
  <c r="CV140" i="1"/>
  <c r="CV141" i="1"/>
  <c r="CV143" i="1"/>
  <c r="CV144" i="1"/>
  <c r="CV145" i="1"/>
  <c r="CV146" i="1"/>
  <c r="CV147" i="1"/>
  <c r="CV148" i="1"/>
  <c r="CV149" i="1"/>
  <c r="CV150" i="1"/>
  <c r="CV151" i="1"/>
  <c r="CV152" i="1"/>
  <c r="CV153" i="1"/>
  <c r="CV154" i="1"/>
  <c r="CV155" i="1"/>
  <c r="CV156" i="1"/>
  <c r="CV157" i="1"/>
  <c r="CV159" i="1"/>
  <c r="CV160" i="1"/>
  <c r="CV161" i="1"/>
  <c r="CV162" i="1"/>
  <c r="CV163" i="1"/>
  <c r="CV164" i="1"/>
  <c r="CV165" i="1"/>
  <c r="CV168" i="1"/>
  <c r="CV169" i="1"/>
  <c r="CV170" i="1"/>
  <c r="CV171" i="1"/>
  <c r="CV172" i="1"/>
  <c r="CV174" i="1"/>
  <c r="CV175" i="1"/>
  <c r="CV176" i="1"/>
  <c r="CV177" i="1"/>
  <c r="CV178" i="1"/>
  <c r="CV179" i="1"/>
  <c r="CV180" i="1"/>
  <c r="CV181" i="1"/>
  <c r="CV182" i="1"/>
  <c r="CV184" i="1"/>
  <c r="CV185" i="1"/>
  <c r="CV186" i="1"/>
  <c r="CV187" i="1"/>
  <c r="CV188" i="1"/>
  <c r="CV189" i="1"/>
  <c r="CV190" i="1"/>
  <c r="CV191" i="1"/>
  <c r="CV192" i="1"/>
  <c r="CV193" i="1"/>
  <c r="CV194" i="1"/>
  <c r="CV195" i="1"/>
  <c r="CV197" i="1"/>
  <c r="CV199" i="1"/>
  <c r="CV200" i="1"/>
  <c r="CV201" i="1"/>
  <c r="CV202" i="1"/>
  <c r="CV208" i="1"/>
  <c r="CV209" i="1"/>
  <c r="CV210" i="1"/>
  <c r="CV211" i="1"/>
  <c r="CV212" i="1"/>
  <c r="CV213" i="1"/>
  <c r="CV214" i="1"/>
  <c r="CV215" i="1"/>
  <c r="CV217" i="1"/>
  <c r="CV218" i="1"/>
  <c r="CV219" i="1"/>
  <c r="CV220" i="1"/>
  <c r="CV221" i="1"/>
  <c r="CV222" i="1"/>
  <c r="CV223" i="1"/>
  <c r="CV224" i="1"/>
  <c r="CV225" i="1"/>
  <c r="CV226" i="1"/>
  <c r="CV227" i="1"/>
  <c r="CV229" i="1"/>
  <c r="CV230" i="1"/>
  <c r="CV231" i="1"/>
  <c r="CV232" i="1"/>
  <c r="CV233" i="1"/>
  <c r="CV234" i="1"/>
  <c r="CV235" i="1"/>
  <c r="CV236" i="1"/>
  <c r="CV237" i="1"/>
  <c r="CV238" i="1"/>
  <c r="CV239" i="1"/>
  <c r="CV240" i="1"/>
  <c r="CV241" i="1"/>
  <c r="CV242" i="1"/>
  <c r="CV244" i="1"/>
  <c r="CV245" i="1"/>
  <c r="CV246" i="1"/>
  <c r="CV247" i="1"/>
  <c r="CV248" i="1"/>
  <c r="CV249" i="1"/>
  <c r="CV250" i="1"/>
  <c r="CV251" i="1"/>
  <c r="CV252" i="1"/>
  <c r="CV253" i="1"/>
  <c r="CV254" i="1"/>
  <c r="CV255" i="1"/>
  <c r="CV257" i="1"/>
  <c r="CV258" i="1"/>
  <c r="CV259" i="1"/>
  <c r="CV260" i="1"/>
  <c r="CV261" i="1"/>
  <c r="CV262" i="1"/>
  <c r="CV263" i="1"/>
  <c r="CV264" i="1"/>
  <c r="CV265" i="1"/>
  <c r="CV266" i="1"/>
  <c r="CV268" i="1"/>
  <c r="CV8" i="1"/>
  <c r="V58" i="9"/>
  <c r="U58" i="9"/>
  <c r="T58" i="9"/>
  <c r="S58" i="9"/>
  <c r="R58" i="9"/>
  <c r="Q58" i="9"/>
  <c r="P58" i="9"/>
  <c r="O58" i="9"/>
  <c r="N58" i="9"/>
  <c r="M58" i="9"/>
  <c r="L58" i="9"/>
  <c r="K58" i="9"/>
  <c r="K62" i="9"/>
  <c r="M63" i="9"/>
  <c r="S68" i="8"/>
  <c r="R68" i="8"/>
  <c r="Q68" i="8"/>
  <c r="P68" i="8"/>
  <c r="O68" i="8"/>
  <c r="N68" i="8"/>
  <c r="M68" i="8"/>
  <c r="L68" i="8"/>
  <c r="K68" i="8"/>
  <c r="J68" i="8"/>
  <c r="I68" i="8"/>
  <c r="H68" i="8"/>
  <c r="S67" i="8"/>
  <c r="R67" i="8"/>
  <c r="Q67" i="8"/>
  <c r="P67" i="8"/>
  <c r="P69" i="8" s="1"/>
  <c r="O67" i="8"/>
  <c r="N67" i="8"/>
  <c r="M67" i="8"/>
  <c r="L67" i="8"/>
  <c r="K67" i="8"/>
  <c r="J67" i="8"/>
  <c r="I67" i="8"/>
  <c r="H67" i="8"/>
  <c r="S66" i="8"/>
  <c r="R66" i="8"/>
  <c r="Q66" i="8"/>
  <c r="P66" i="8"/>
  <c r="O66" i="8"/>
  <c r="N66" i="8"/>
  <c r="M66" i="8"/>
  <c r="L66" i="8"/>
  <c r="K66" i="8"/>
  <c r="J66" i="8"/>
  <c r="I66" i="8"/>
  <c r="H66" i="8"/>
  <c r="S44" i="7"/>
  <c r="R44" i="7"/>
  <c r="Q44" i="7"/>
  <c r="P44" i="7"/>
  <c r="O44" i="7"/>
  <c r="N44" i="7"/>
  <c r="M44" i="7"/>
  <c r="L44" i="7"/>
  <c r="K44" i="7"/>
  <c r="J44" i="7"/>
  <c r="I44" i="7"/>
  <c r="H44" i="7"/>
  <c r="S43" i="7"/>
  <c r="R43" i="7"/>
  <c r="Q43" i="7"/>
  <c r="P43" i="7"/>
  <c r="O43" i="7"/>
  <c r="N43" i="7"/>
  <c r="M43" i="7"/>
  <c r="L43" i="7"/>
  <c r="K43" i="7"/>
  <c r="J43" i="7"/>
  <c r="I43" i="7"/>
  <c r="H43" i="7"/>
  <c r="S42" i="7"/>
  <c r="R42" i="7"/>
  <c r="Q42" i="7"/>
  <c r="P42" i="7"/>
  <c r="O42" i="7"/>
  <c r="N42" i="7"/>
  <c r="M42" i="7"/>
  <c r="L42" i="7"/>
  <c r="K42" i="7"/>
  <c r="J42" i="7"/>
  <c r="I42" i="7"/>
  <c r="H42" i="7"/>
  <c r="V40" i="7"/>
  <c r="U40" i="7"/>
  <c r="T40" i="7"/>
  <c r="V32" i="7"/>
  <c r="U32" i="7"/>
  <c r="T32" i="7"/>
  <c r="V30" i="7"/>
  <c r="U30" i="7"/>
  <c r="T30" i="7"/>
  <c r="V28" i="7"/>
  <c r="U28" i="7"/>
  <c r="T28" i="7"/>
  <c r="V26" i="7"/>
  <c r="U26" i="7"/>
  <c r="T26" i="7"/>
  <c r="V24" i="7"/>
  <c r="U24" i="7"/>
  <c r="T24" i="7"/>
  <c r="T20" i="7"/>
  <c r="V16" i="7"/>
  <c r="U16" i="7"/>
  <c r="T16" i="7"/>
  <c r="V12" i="7"/>
  <c r="U12" i="7"/>
  <c r="T12" i="7"/>
  <c r="V10" i="7"/>
  <c r="U10" i="7"/>
  <c r="T10" i="7"/>
  <c r="R17" i="5"/>
  <c r="O17" i="5"/>
  <c r="L17" i="5"/>
  <c r="AP151" i="1"/>
  <c r="AO151" i="1"/>
  <c r="AN151" i="1"/>
  <c r="J69" i="8"/>
  <c r="W30" i="7"/>
  <c r="I69" i="8"/>
  <c r="X32" i="7"/>
  <c r="K45" i="7"/>
  <c r="L47" i="7"/>
  <c r="X26" i="7"/>
  <c r="X40" i="7"/>
  <c r="Q45" i="7"/>
  <c r="R47" i="7"/>
  <c r="X28" i="7"/>
  <c r="H45" i="7"/>
  <c r="I47" i="7"/>
  <c r="W10" i="7"/>
  <c r="X30" i="7"/>
  <c r="L69" i="8"/>
  <c r="M69" i="8"/>
  <c r="W24" i="7"/>
  <c r="K70" i="8"/>
  <c r="L71" i="8"/>
  <c r="K69" i="8"/>
  <c r="X12" i="7"/>
  <c r="N45" i="7"/>
  <c r="O47" i="7"/>
  <c r="N62" i="9"/>
  <c r="P63" i="9"/>
  <c r="Q70" i="8"/>
  <c r="R71" i="8"/>
  <c r="Q69" i="8"/>
  <c r="W16" i="7"/>
  <c r="R69" i="8"/>
  <c r="Q62" i="9"/>
  <c r="S63" i="9"/>
  <c r="Y43" i="7"/>
  <c r="S69" i="8"/>
  <c r="Y44" i="7"/>
  <c r="H70" i="8"/>
  <c r="H69" i="8"/>
  <c r="X16" i="7"/>
  <c r="T62" i="9"/>
  <c r="V63" i="9"/>
  <c r="I71" i="8"/>
  <c r="W32" i="7"/>
  <c r="X24" i="7"/>
  <c r="X10" i="7"/>
  <c r="W26" i="7"/>
  <c r="W40" i="7"/>
  <c r="W12" i="7"/>
  <c r="T42" i="7"/>
  <c r="Y42" i="7"/>
  <c r="W28" i="7"/>
  <c r="W77" i="11"/>
  <c r="W82" i="11"/>
  <c r="T77" i="11"/>
  <c r="T82" i="11"/>
  <c r="Q77" i="11"/>
  <c r="Q82" i="11"/>
  <c r="N82" i="11"/>
  <c r="W76" i="11"/>
  <c r="W83" i="11"/>
  <c r="T76" i="11"/>
  <c r="T83" i="11"/>
  <c r="Q76" i="11"/>
  <c r="Q83" i="11"/>
  <c r="N76" i="11"/>
  <c r="N83" i="11"/>
  <c r="Z72" i="11"/>
  <c r="AA72" i="11"/>
  <c r="Z70" i="11"/>
  <c r="Z68" i="11"/>
  <c r="Z66" i="11"/>
  <c r="AA66" i="11"/>
  <c r="Z64" i="11"/>
  <c r="Z62" i="11"/>
  <c r="Z60" i="11"/>
  <c r="Z58" i="11"/>
  <c r="Z56" i="11"/>
  <c r="Z54" i="11"/>
  <c r="Z52" i="11"/>
  <c r="Z50" i="11"/>
  <c r="Z48" i="11"/>
  <c r="Z46" i="11"/>
  <c r="Z44" i="11"/>
  <c r="Z42" i="11"/>
  <c r="Z40" i="11"/>
  <c r="Z38" i="11"/>
  <c r="Z36" i="11"/>
  <c r="Z34" i="11"/>
  <c r="Z32" i="11"/>
  <c r="Z30" i="11"/>
  <c r="Z28" i="11"/>
  <c r="Z26" i="11"/>
  <c r="Z24" i="11"/>
  <c r="Z22" i="11"/>
  <c r="Z20" i="11"/>
  <c r="Z18" i="11"/>
  <c r="Z16" i="11"/>
  <c r="Z14" i="11"/>
  <c r="Z12" i="11"/>
  <c r="Z10" i="11"/>
  <c r="Z8" i="11"/>
  <c r="Z6" i="11"/>
  <c r="Q84" i="11"/>
  <c r="T84" i="11"/>
  <c r="AA34" i="11"/>
  <c r="Q78" i="11"/>
  <c r="AA6" i="11"/>
  <c r="T78" i="11"/>
  <c r="N84" i="11"/>
  <c r="N85" i="11"/>
  <c r="W84" i="11"/>
  <c r="N78" i="11"/>
  <c r="W78" i="11"/>
  <c r="Q85" i="11"/>
  <c r="T85" i="11"/>
  <c r="W85" i="11"/>
  <c r="BD198" i="1"/>
  <c r="AA198" i="1"/>
  <c r="X203" i="1"/>
  <c r="CD203" i="1" s="1"/>
  <c r="X204" i="1"/>
  <c r="AA207" i="1"/>
  <c r="BP207" i="1" s="1"/>
  <c r="BV207" i="1" s="1"/>
  <c r="Z207" i="1"/>
  <c r="BD207" i="1" s="1"/>
  <c r="Y207" i="1"/>
  <c r="AR207" i="1" s="1"/>
  <c r="X207" i="1"/>
  <c r="AA206" i="1"/>
  <c r="BP206" i="1" s="1"/>
  <c r="BV206" i="1" s="1"/>
  <c r="BD206" i="1"/>
  <c r="AR206" i="1"/>
  <c r="X206" i="1"/>
  <c r="AA205" i="1"/>
  <c r="BP205" i="1" s="1"/>
  <c r="BV205" i="1" s="1"/>
  <c r="Z205" i="1"/>
  <c r="BD205" i="1" s="1"/>
  <c r="Y205" i="1"/>
  <c r="AR205" i="1" s="1"/>
  <c r="AX205" i="1" s="1"/>
  <c r="BA205" i="1" s="1"/>
  <c r="X205" i="1"/>
  <c r="AR198" i="1"/>
  <c r="AX198" i="1" s="1"/>
  <c r="AS6" i="1"/>
  <c r="AU6" i="1"/>
  <c r="AV6" i="1"/>
  <c r="AD6" i="1"/>
  <c r="AE6" i="1"/>
  <c r="AC6" i="1"/>
  <c r="BE6" i="1"/>
  <c r="CD173" i="1" l="1"/>
  <c r="BY17" i="1"/>
  <c r="BX17" i="1"/>
  <c r="BZ17" i="1"/>
  <c r="CA17" i="1"/>
  <c r="BY20" i="1"/>
  <c r="BX20" i="1"/>
  <c r="CA20" i="1"/>
  <c r="BZ20" i="1"/>
  <c r="CA60" i="1"/>
  <c r="BZ60" i="1"/>
  <c r="BY60" i="1"/>
  <c r="BX60" i="1"/>
  <c r="CA56" i="1"/>
  <c r="BX56" i="1"/>
  <c r="BY56" i="1"/>
  <c r="BZ56" i="1"/>
  <c r="BX18" i="1"/>
  <c r="CA18" i="1"/>
  <c r="BZ18" i="1"/>
  <c r="BY18" i="1"/>
  <c r="BY44" i="1"/>
  <c r="BX44" i="1"/>
  <c r="CA44" i="1"/>
  <c r="BZ44" i="1"/>
  <c r="BX110" i="1"/>
  <c r="CA110" i="1"/>
  <c r="BY110" i="1"/>
  <c r="BZ110" i="1"/>
  <c r="CD267" i="1"/>
  <c r="BY16" i="1"/>
  <c r="CA16" i="1"/>
  <c r="BZ16" i="1"/>
  <c r="BX16" i="1"/>
  <c r="BY45" i="1"/>
  <c r="BX45" i="1"/>
  <c r="CA45" i="1"/>
  <c r="BZ45" i="1"/>
  <c r="CA90" i="1"/>
  <c r="BZ90" i="1"/>
  <c r="BY90" i="1"/>
  <c r="BX90" i="1"/>
  <c r="BY112" i="1"/>
  <c r="BX112" i="1"/>
  <c r="BZ112" i="1"/>
  <c r="CA112" i="1"/>
  <c r="BY173" i="1"/>
  <c r="BX173" i="1"/>
  <c r="BZ173" i="1"/>
  <c r="CA173" i="1"/>
  <c r="BY8" i="1"/>
  <c r="BZ8" i="1"/>
  <c r="CA8" i="1"/>
  <c r="BX8" i="1"/>
  <c r="BZ46" i="1"/>
  <c r="BY46" i="1"/>
  <c r="CA46" i="1"/>
  <c r="BX46" i="1"/>
  <c r="BY50" i="1"/>
  <c r="BX50" i="1"/>
  <c r="CA50" i="1"/>
  <c r="BZ50" i="1"/>
  <c r="BY51" i="1"/>
  <c r="CA51" i="1"/>
  <c r="BZ51" i="1"/>
  <c r="BX51" i="1"/>
  <c r="CA52" i="1"/>
  <c r="BZ52" i="1"/>
  <c r="BY52" i="1"/>
  <c r="BX52" i="1"/>
  <c r="BY9" i="1"/>
  <c r="BZ9" i="1"/>
  <c r="BX9" i="1"/>
  <c r="CA9" i="1"/>
  <c r="CA53" i="1"/>
  <c r="BZ53" i="1"/>
  <c r="BX53" i="1"/>
  <c r="BY53" i="1"/>
  <c r="BX111" i="1"/>
  <c r="BZ111" i="1"/>
  <c r="CA111" i="1"/>
  <c r="BY111" i="1"/>
  <c r="CA48" i="1"/>
  <c r="BZ48" i="1"/>
  <c r="BX48" i="1"/>
  <c r="BY48" i="1"/>
  <c r="BZ10" i="1"/>
  <c r="BX10" i="1"/>
  <c r="BY10" i="1"/>
  <c r="CA10" i="1"/>
  <c r="BX54" i="1"/>
  <c r="CA54" i="1"/>
  <c r="BZ54" i="1"/>
  <c r="BY54" i="1"/>
  <c r="BZ11" i="1"/>
  <c r="BX11" i="1"/>
  <c r="BY11" i="1"/>
  <c r="CA11" i="1"/>
  <c r="CA55" i="1"/>
  <c r="BZ55" i="1"/>
  <c r="BY55" i="1"/>
  <c r="BX55" i="1"/>
  <c r="CA19" i="1"/>
  <c r="BZ19" i="1"/>
  <c r="BY19" i="1"/>
  <c r="BX19" i="1"/>
  <c r="CA12" i="1"/>
  <c r="BZ12" i="1"/>
  <c r="BY12" i="1"/>
  <c r="BX12" i="1"/>
  <c r="CA57" i="1"/>
  <c r="BZ57" i="1"/>
  <c r="BY57" i="1"/>
  <c r="BX57" i="1"/>
  <c r="BZ47" i="1"/>
  <c r="BY47" i="1"/>
  <c r="BX47" i="1"/>
  <c r="CA47" i="1"/>
  <c r="CA13" i="1"/>
  <c r="BZ13" i="1"/>
  <c r="BY13" i="1"/>
  <c r="BX13" i="1"/>
  <c r="BX58" i="1"/>
  <c r="CA58" i="1"/>
  <c r="BZ58" i="1"/>
  <c r="BY58" i="1"/>
  <c r="BY15" i="1"/>
  <c r="BX15" i="1"/>
  <c r="CA15" i="1"/>
  <c r="BZ15" i="1"/>
  <c r="CA49" i="1"/>
  <c r="BX49" i="1"/>
  <c r="BZ49" i="1"/>
  <c r="BY49" i="1"/>
  <c r="CA14" i="1"/>
  <c r="BZ14" i="1"/>
  <c r="BX14" i="1"/>
  <c r="BY14" i="1"/>
  <c r="BY59" i="1"/>
  <c r="CA59" i="1"/>
  <c r="BZ59" i="1"/>
  <c r="BX59" i="1"/>
  <c r="AX191" i="1"/>
  <c r="BB191" i="1" s="1"/>
  <c r="AX190" i="1"/>
  <c r="BA190" i="1" s="1"/>
  <c r="AR28" i="1"/>
  <c r="AX28" i="1" s="1"/>
  <c r="CD28" i="1"/>
  <c r="BP198" i="1"/>
  <c r="CD198" i="1"/>
  <c r="CD83" i="1"/>
  <c r="CD183" i="1"/>
  <c r="AR279" i="1"/>
  <c r="AX279" i="1" s="1"/>
  <c r="AZ279" i="1" s="1"/>
  <c r="CD279" i="1"/>
  <c r="AR158" i="1"/>
  <c r="AX158" i="1" s="1"/>
  <c r="BB158" i="1" s="1"/>
  <c r="CD158" i="1"/>
  <c r="AR61" i="1"/>
  <c r="CC61" i="1" s="1"/>
  <c r="CD61" i="1"/>
  <c r="AF205" i="1"/>
  <c r="CC205" i="1" s="1"/>
  <c r="CD205" i="1"/>
  <c r="CV196" i="1"/>
  <c r="CD196" i="1"/>
  <c r="AR216" i="1"/>
  <c r="AX216" i="1" s="1"/>
  <c r="BB216" i="1" s="1"/>
  <c r="CD216" i="1"/>
  <c r="CV204" i="1"/>
  <c r="CD204" i="1"/>
  <c r="AR228" i="1"/>
  <c r="AX228" i="1" s="1"/>
  <c r="BA228" i="1" s="1"/>
  <c r="CD228" i="1"/>
  <c r="CD95" i="1"/>
  <c r="AR111" i="1"/>
  <c r="CC111" i="1" s="1"/>
  <c r="CD111" i="1"/>
  <c r="CD42" i="1"/>
  <c r="CD256" i="1"/>
  <c r="CD207" i="1"/>
  <c r="CD142" i="1"/>
  <c r="AR56" i="1"/>
  <c r="CC56" i="1" s="1"/>
  <c r="CD56" i="1"/>
  <c r="AR69" i="1"/>
  <c r="AX69" i="1" s="1"/>
  <c r="BA69" i="1" s="1"/>
  <c r="CD69" i="1"/>
  <c r="AF206" i="1"/>
  <c r="AL206" i="1" s="1"/>
  <c r="CD206" i="1"/>
  <c r="CD167" i="1"/>
  <c r="CD243" i="1"/>
  <c r="AX11" i="1"/>
  <c r="BB11" i="1" s="1"/>
  <c r="CC161" i="1"/>
  <c r="CB86" i="1"/>
  <c r="CC162" i="1"/>
  <c r="CC160" i="1"/>
  <c r="CC164" i="1"/>
  <c r="CB12" i="1"/>
  <c r="CB193" i="1"/>
  <c r="CB194" i="1"/>
  <c r="CB220" i="1"/>
  <c r="CC33" i="1"/>
  <c r="CB82" i="1"/>
  <c r="CC219" i="1"/>
  <c r="CB107" i="1"/>
  <c r="CC240" i="1"/>
  <c r="CC106" i="1"/>
  <c r="CC127" i="1"/>
  <c r="CC85" i="1"/>
  <c r="CC36" i="1"/>
  <c r="CB58" i="1"/>
  <c r="CB80" i="1"/>
  <c r="CB44" i="1"/>
  <c r="CB66" i="1"/>
  <c r="CB68" i="1"/>
  <c r="CC42" i="1"/>
  <c r="CB51" i="1"/>
  <c r="CB71" i="1"/>
  <c r="CC107" i="1"/>
  <c r="CC87" i="1"/>
  <c r="CC86" i="1"/>
  <c r="CB54" i="1"/>
  <c r="CB77" i="1"/>
  <c r="CB48" i="1"/>
  <c r="CB57" i="1"/>
  <c r="CC32" i="1"/>
  <c r="CF32" i="1" s="1"/>
  <c r="CB62" i="1"/>
  <c r="CC44" i="1"/>
  <c r="CC14" i="1"/>
  <c r="AX178" i="1"/>
  <c r="BA178" i="1" s="1"/>
  <c r="AX52" i="1"/>
  <c r="BB52" i="1" s="1"/>
  <c r="AX223" i="1"/>
  <c r="BB223" i="1" s="1"/>
  <c r="AX262" i="1"/>
  <c r="BA262" i="1" s="1"/>
  <c r="CC31" i="1"/>
  <c r="CF31" i="1" s="1"/>
  <c r="CB46" i="1"/>
  <c r="CB45" i="1"/>
  <c r="CB65" i="1"/>
  <c r="CC18" i="1"/>
  <c r="CC62" i="1"/>
  <c r="CC84" i="1"/>
  <c r="CB74" i="1"/>
  <c r="CB16" i="1"/>
  <c r="CC165" i="1"/>
  <c r="CB17" i="1"/>
  <c r="CB267" i="1"/>
  <c r="CB13" i="1"/>
  <c r="CB87" i="1"/>
  <c r="CB108" i="1"/>
  <c r="CB97" i="1"/>
  <c r="CB15" i="1"/>
  <c r="CB110" i="1"/>
  <c r="CB47" i="1"/>
  <c r="CC268" i="1"/>
  <c r="CC171" i="1"/>
  <c r="CB103" i="1"/>
  <c r="CC148" i="1"/>
  <c r="CC275" i="1"/>
  <c r="CB115" i="1"/>
  <c r="CB183" i="1"/>
  <c r="CC176" i="1"/>
  <c r="CC273" i="1"/>
  <c r="CB119" i="1"/>
  <c r="CB101" i="1"/>
  <c r="CB122" i="1"/>
  <c r="CC262" i="1"/>
  <c r="CB104" i="1"/>
  <c r="CB125" i="1"/>
  <c r="CC187" i="1"/>
  <c r="CC231" i="1"/>
  <c r="CC186" i="1"/>
  <c r="CC200" i="1"/>
  <c r="CC244" i="1"/>
  <c r="CC199" i="1"/>
  <c r="CC89" i="1"/>
  <c r="CC197" i="1"/>
  <c r="CC241" i="1"/>
  <c r="CC242" i="1"/>
  <c r="CC220" i="1"/>
  <c r="CC248" i="1"/>
  <c r="CC247" i="1"/>
  <c r="CB20" i="1"/>
  <c r="CC224" i="1"/>
  <c r="CB94" i="1"/>
  <c r="CC185" i="1"/>
  <c r="CB14" i="1"/>
  <c r="CB88" i="1"/>
  <c r="CB109" i="1"/>
  <c r="CC246" i="1"/>
  <c r="CC201" i="1"/>
  <c r="CB188" i="1"/>
  <c r="CB235" i="1"/>
  <c r="CC233" i="1"/>
  <c r="CC213" i="1"/>
  <c r="CC188" i="1"/>
  <c r="CB127" i="1"/>
  <c r="CB260" i="1"/>
  <c r="CC194" i="1"/>
  <c r="CC172" i="1"/>
  <c r="CC276" i="1"/>
  <c r="CB102" i="1"/>
  <c r="CB128" i="1"/>
  <c r="CC170" i="1"/>
  <c r="CC129" i="1"/>
  <c r="CB252" i="1"/>
  <c r="CC153" i="1"/>
  <c r="CC113" i="1"/>
  <c r="CC25" i="1"/>
  <c r="CC139" i="1"/>
  <c r="CB227" i="1"/>
  <c r="CC98" i="1"/>
  <c r="CB185" i="1"/>
  <c r="CC72" i="1"/>
  <c r="CC52" i="1"/>
  <c r="CB203" i="1"/>
  <c r="CB248" i="1"/>
  <c r="CC156" i="1"/>
  <c r="CC115" i="1"/>
  <c r="CB254" i="1"/>
  <c r="AL147" i="1"/>
  <c r="CC147" i="1"/>
  <c r="BJ11" i="1"/>
  <c r="BM11" i="1" s="1"/>
  <c r="CB11" i="1"/>
  <c r="BJ219" i="1"/>
  <c r="BM219" i="1" s="1"/>
  <c r="CB219" i="1"/>
  <c r="CA221" i="1"/>
  <c r="BY221" i="1"/>
  <c r="BZ221" i="1"/>
  <c r="BX221" i="1"/>
  <c r="CC167" i="1"/>
  <c r="AL38" i="1"/>
  <c r="CC38" i="1"/>
  <c r="BZ243" i="1"/>
  <c r="CA243" i="1"/>
  <c r="BY243" i="1"/>
  <c r="BX243" i="1"/>
  <c r="BJ205" i="1"/>
  <c r="BL205" i="1" s="1"/>
  <c r="CB205" i="1"/>
  <c r="CC125" i="1"/>
  <c r="AL37" i="1"/>
  <c r="CC37" i="1"/>
  <c r="BJ150" i="1"/>
  <c r="BM150" i="1" s="1"/>
  <c r="CB150" i="1"/>
  <c r="BX86" i="1"/>
  <c r="BY86" i="1"/>
  <c r="BZ86" i="1"/>
  <c r="CA86" i="1"/>
  <c r="BZ265" i="1"/>
  <c r="BY265" i="1"/>
  <c r="BX265" i="1"/>
  <c r="CA265" i="1"/>
  <c r="BJ151" i="1"/>
  <c r="BL151" i="1" s="1"/>
  <c r="CB151" i="1"/>
  <c r="BJ28" i="1"/>
  <c r="BN28" i="1" s="1"/>
  <c r="CB28" i="1"/>
  <c r="AL229" i="1"/>
  <c r="CC229" i="1"/>
  <c r="AL123" i="1"/>
  <c r="CC123" i="1"/>
  <c r="AL15" i="1"/>
  <c r="CC15" i="1"/>
  <c r="CB243" i="1"/>
  <c r="BY178" i="1"/>
  <c r="CA178" i="1"/>
  <c r="BX178" i="1"/>
  <c r="BZ178" i="1"/>
  <c r="BY246" i="1"/>
  <c r="CA246" i="1"/>
  <c r="BX246" i="1"/>
  <c r="BZ246" i="1"/>
  <c r="CC102" i="1"/>
  <c r="AL279" i="1"/>
  <c r="BJ90" i="1"/>
  <c r="BL90" i="1" s="1"/>
  <c r="CB90" i="1"/>
  <c r="BJ133" i="1"/>
  <c r="BM133" i="1" s="1"/>
  <c r="CB133" i="1"/>
  <c r="BJ177" i="1"/>
  <c r="BM177" i="1" s="1"/>
  <c r="CB177" i="1"/>
  <c r="BJ224" i="1"/>
  <c r="BM224" i="1" s="1"/>
  <c r="CB224" i="1"/>
  <c r="BJ244" i="1"/>
  <c r="BL244" i="1" s="1"/>
  <c r="CB244" i="1"/>
  <c r="BY67" i="1"/>
  <c r="BZ67" i="1"/>
  <c r="BX67" i="1"/>
  <c r="CA67" i="1"/>
  <c r="BY107" i="1"/>
  <c r="BX107" i="1"/>
  <c r="BZ107" i="1"/>
  <c r="CA107" i="1"/>
  <c r="BZ202" i="1"/>
  <c r="CA202" i="1"/>
  <c r="BY202" i="1"/>
  <c r="BX202" i="1"/>
  <c r="BY247" i="1"/>
  <c r="CA247" i="1"/>
  <c r="BX247" i="1"/>
  <c r="BZ247" i="1"/>
  <c r="BX269" i="1"/>
  <c r="CA269" i="1"/>
  <c r="BZ269" i="1"/>
  <c r="BY269" i="1"/>
  <c r="AL227" i="1"/>
  <c r="CC227" i="1"/>
  <c r="AL202" i="1"/>
  <c r="CC202" i="1"/>
  <c r="AL182" i="1"/>
  <c r="CC182" i="1"/>
  <c r="AL141" i="1"/>
  <c r="CC141" i="1"/>
  <c r="CC121" i="1"/>
  <c r="AL101" i="1"/>
  <c r="CC101" i="1"/>
  <c r="AL81" i="1"/>
  <c r="CC81" i="1"/>
  <c r="CC58" i="1"/>
  <c r="AL13" i="1"/>
  <c r="CC13" i="1"/>
  <c r="AL280" i="1"/>
  <c r="CC280" i="1"/>
  <c r="BJ91" i="1"/>
  <c r="BL91" i="1" s="1"/>
  <c r="CB91" i="1"/>
  <c r="BJ113" i="1"/>
  <c r="BN113" i="1" s="1"/>
  <c r="CB113" i="1"/>
  <c r="BJ154" i="1"/>
  <c r="BN154" i="1" s="1"/>
  <c r="CB154" i="1"/>
  <c r="BJ178" i="1"/>
  <c r="BM178" i="1" s="1"/>
  <c r="CB178" i="1"/>
  <c r="BJ201" i="1"/>
  <c r="BL201" i="1" s="1"/>
  <c r="CB201" i="1"/>
  <c r="CB225" i="1"/>
  <c r="CB245" i="1"/>
  <c r="CB266" i="1"/>
  <c r="BX68" i="1"/>
  <c r="BZ68" i="1"/>
  <c r="CA68" i="1"/>
  <c r="BY68" i="1"/>
  <c r="CA180" i="1"/>
  <c r="BZ180" i="1"/>
  <c r="BY180" i="1"/>
  <c r="BX180" i="1"/>
  <c r="CA203" i="1"/>
  <c r="BZ203" i="1"/>
  <c r="BY203" i="1"/>
  <c r="BX203" i="1"/>
  <c r="BY227" i="1"/>
  <c r="CA227" i="1"/>
  <c r="BZ227" i="1"/>
  <c r="BX227" i="1"/>
  <c r="BX248" i="1"/>
  <c r="BY248" i="1"/>
  <c r="CA248" i="1"/>
  <c r="BZ248" i="1"/>
  <c r="BY270" i="1"/>
  <c r="CA270" i="1"/>
  <c r="BZ270" i="1"/>
  <c r="BX270" i="1"/>
  <c r="BJ239" i="1"/>
  <c r="BM239" i="1" s="1"/>
  <c r="CB239" i="1"/>
  <c r="BY195" i="1"/>
  <c r="CA195" i="1"/>
  <c r="BX195" i="1"/>
  <c r="BZ195" i="1"/>
  <c r="BY41" i="1"/>
  <c r="BZ41" i="1"/>
  <c r="CA41" i="1"/>
  <c r="BX41" i="1"/>
  <c r="AL105" i="1"/>
  <c r="CC105" i="1"/>
  <c r="AL17" i="1"/>
  <c r="CC17" i="1"/>
  <c r="BJ64" i="1"/>
  <c r="BN64" i="1" s="1"/>
  <c r="CB64" i="1"/>
  <c r="BJ241" i="1"/>
  <c r="BN241" i="1" s="1"/>
  <c r="CB241" i="1"/>
  <c r="AL16" i="1"/>
  <c r="CC16" i="1"/>
  <c r="CB197" i="1"/>
  <c r="BJ256" i="1"/>
  <c r="BM256" i="1" s="1"/>
  <c r="CB256" i="1"/>
  <c r="AL209" i="1"/>
  <c r="CC209" i="1"/>
  <c r="AL103" i="1"/>
  <c r="CC103" i="1"/>
  <c r="AL269" i="1"/>
  <c r="CC269" i="1"/>
  <c r="BJ264" i="1"/>
  <c r="BL264" i="1" s="1"/>
  <c r="CB264" i="1"/>
  <c r="CA28" i="1"/>
  <c r="BX28" i="1"/>
  <c r="BZ28" i="1"/>
  <c r="BY28" i="1"/>
  <c r="AL228" i="1"/>
  <c r="AL142" i="1"/>
  <c r="CC142" i="1"/>
  <c r="AL59" i="1"/>
  <c r="CC59" i="1"/>
  <c r="BJ67" i="1"/>
  <c r="BN67" i="1" s="1"/>
  <c r="CB67" i="1"/>
  <c r="BJ112" i="1"/>
  <c r="BL112" i="1" s="1"/>
  <c r="CB112" i="1"/>
  <c r="BJ153" i="1"/>
  <c r="BM153" i="1" s="1"/>
  <c r="CB153" i="1"/>
  <c r="BJ200" i="1"/>
  <c r="BN200" i="1" s="1"/>
  <c r="CB200" i="1"/>
  <c r="CB265" i="1"/>
  <c r="BX89" i="1"/>
  <c r="BZ89" i="1"/>
  <c r="BY89" i="1"/>
  <c r="CA89" i="1"/>
  <c r="BZ179" i="1"/>
  <c r="CA179" i="1"/>
  <c r="BY179" i="1"/>
  <c r="BX179" i="1"/>
  <c r="CA226" i="1"/>
  <c r="BZ226" i="1"/>
  <c r="BY226" i="1"/>
  <c r="BX226" i="1"/>
  <c r="BJ173" i="1"/>
  <c r="BM173" i="1" s="1"/>
  <c r="CB173" i="1"/>
  <c r="BJ206" i="1"/>
  <c r="BL206" i="1" s="1"/>
  <c r="CB206" i="1"/>
  <c r="AL267" i="1"/>
  <c r="BY206" i="1"/>
  <c r="CA206" i="1"/>
  <c r="BX206" i="1"/>
  <c r="BZ206" i="1"/>
  <c r="AL266" i="1"/>
  <c r="CC266" i="1"/>
  <c r="AL226" i="1"/>
  <c r="CC226" i="1"/>
  <c r="AL181" i="1"/>
  <c r="CC181" i="1"/>
  <c r="AL140" i="1"/>
  <c r="CC140" i="1"/>
  <c r="CC120" i="1"/>
  <c r="CC100" i="1"/>
  <c r="AL80" i="1"/>
  <c r="CC80" i="1"/>
  <c r="CC12" i="1"/>
  <c r="AL270" i="1"/>
  <c r="CC270" i="1"/>
  <c r="BJ18" i="1"/>
  <c r="BL18" i="1" s="1"/>
  <c r="CB18" i="1"/>
  <c r="BJ70" i="1"/>
  <c r="BN70" i="1" s="1"/>
  <c r="CB70" i="1"/>
  <c r="BJ92" i="1"/>
  <c r="BN92" i="1" s="1"/>
  <c r="CB92" i="1"/>
  <c r="CB114" i="1"/>
  <c r="BJ135" i="1"/>
  <c r="BN135" i="1" s="1"/>
  <c r="CB135" i="1"/>
  <c r="BJ155" i="1"/>
  <c r="BM155" i="1" s="1"/>
  <c r="CB155" i="1"/>
  <c r="CB179" i="1"/>
  <c r="BJ202" i="1"/>
  <c r="BN202" i="1" s="1"/>
  <c r="CB202" i="1"/>
  <c r="CB226" i="1"/>
  <c r="CB246" i="1"/>
  <c r="BJ268" i="1"/>
  <c r="BM268" i="1" s="1"/>
  <c r="CB268" i="1"/>
  <c r="BY70" i="1"/>
  <c r="CA70" i="1"/>
  <c r="BZ70" i="1"/>
  <c r="BX70" i="1"/>
  <c r="BZ113" i="1"/>
  <c r="BY113" i="1"/>
  <c r="CA113" i="1"/>
  <c r="BX113" i="1"/>
  <c r="CA181" i="1"/>
  <c r="BZ181" i="1"/>
  <c r="BY181" i="1"/>
  <c r="BX181" i="1"/>
  <c r="CA204" i="1"/>
  <c r="BZ204" i="1"/>
  <c r="BX204" i="1"/>
  <c r="BY204" i="1"/>
  <c r="BX228" i="1"/>
  <c r="BY228" i="1"/>
  <c r="BZ228" i="1"/>
  <c r="CA228" i="1"/>
  <c r="CA249" i="1"/>
  <c r="BZ249" i="1"/>
  <c r="BX249" i="1"/>
  <c r="BY249" i="1"/>
  <c r="CA271" i="1"/>
  <c r="BY271" i="1"/>
  <c r="BZ271" i="1"/>
  <c r="BX271" i="1"/>
  <c r="CB83" i="1"/>
  <c r="BY267" i="1"/>
  <c r="BZ267" i="1"/>
  <c r="BX267" i="1"/>
  <c r="CA267" i="1"/>
  <c r="AL253" i="1"/>
  <c r="CC253" i="1"/>
  <c r="AL211" i="1"/>
  <c r="CC211" i="1"/>
  <c r="AL168" i="1"/>
  <c r="CC168" i="1"/>
  <c r="AL64" i="1"/>
  <c r="CC64" i="1"/>
  <c r="BZ126" i="1"/>
  <c r="CA126" i="1"/>
  <c r="BX126" i="1"/>
  <c r="BY126" i="1"/>
  <c r="AL252" i="1"/>
  <c r="CC252" i="1"/>
  <c r="BX42" i="1"/>
  <c r="BY42" i="1"/>
  <c r="CA42" i="1"/>
  <c r="BZ42" i="1"/>
  <c r="BY167" i="1"/>
  <c r="BZ167" i="1"/>
  <c r="BX167" i="1"/>
  <c r="CA167" i="1"/>
  <c r="AL124" i="1"/>
  <c r="CC124" i="1"/>
  <c r="BJ175" i="1"/>
  <c r="BN175" i="1" s="1"/>
  <c r="CB175" i="1"/>
  <c r="BY200" i="1"/>
  <c r="BZ200" i="1"/>
  <c r="BX200" i="1"/>
  <c r="CA200" i="1"/>
  <c r="CC163" i="1"/>
  <c r="AL35" i="1"/>
  <c r="CC35" i="1"/>
  <c r="BJ89" i="1"/>
  <c r="BN89" i="1" s="1"/>
  <c r="CB89" i="1"/>
  <c r="CB223" i="1"/>
  <c r="CA66" i="1"/>
  <c r="BZ66" i="1"/>
  <c r="BY66" i="1"/>
  <c r="BX66" i="1"/>
  <c r="BY225" i="1"/>
  <c r="BX225" i="1"/>
  <c r="BZ225" i="1"/>
  <c r="CA225" i="1"/>
  <c r="BJ69" i="1"/>
  <c r="BN69" i="1" s="1"/>
  <c r="CB69" i="1"/>
  <c r="AL183" i="1"/>
  <c r="AL225" i="1"/>
  <c r="CC225" i="1"/>
  <c r="CC11" i="1"/>
  <c r="CA71" i="1"/>
  <c r="BZ71" i="1"/>
  <c r="BY71" i="1"/>
  <c r="BX71" i="1"/>
  <c r="BZ114" i="1"/>
  <c r="BY114" i="1"/>
  <c r="CA114" i="1"/>
  <c r="BX114" i="1"/>
  <c r="BY182" i="1"/>
  <c r="BZ182" i="1"/>
  <c r="BX182" i="1"/>
  <c r="CA182" i="1"/>
  <c r="BY208" i="1"/>
  <c r="BX208" i="1"/>
  <c r="CA208" i="1"/>
  <c r="BZ208" i="1"/>
  <c r="BY250" i="1"/>
  <c r="CA250" i="1"/>
  <c r="BZ250" i="1"/>
  <c r="BX250" i="1"/>
  <c r="BZ272" i="1"/>
  <c r="BY272" i="1"/>
  <c r="CA272" i="1"/>
  <c r="BX272" i="1"/>
  <c r="BZ83" i="1"/>
  <c r="CA83" i="1"/>
  <c r="BX83" i="1"/>
  <c r="BY83" i="1"/>
  <c r="CC10" i="1"/>
  <c r="BJ21" i="1"/>
  <c r="BN21" i="1" s="1"/>
  <c r="CB21" i="1"/>
  <c r="CB49" i="1"/>
  <c r="BJ116" i="1"/>
  <c r="BM116" i="1" s="1"/>
  <c r="CB116" i="1"/>
  <c r="BJ204" i="1"/>
  <c r="BN204" i="1" s="1"/>
  <c r="CB204" i="1"/>
  <c r="BJ228" i="1"/>
  <c r="BL228" i="1" s="1"/>
  <c r="CB228" i="1"/>
  <c r="BJ270" i="1"/>
  <c r="BN270" i="1" s="1"/>
  <c r="CB270" i="1"/>
  <c r="CA72" i="1"/>
  <c r="BX72" i="1"/>
  <c r="BY72" i="1"/>
  <c r="BZ72" i="1"/>
  <c r="CA115" i="1"/>
  <c r="BY115" i="1"/>
  <c r="BX115" i="1"/>
  <c r="BZ115" i="1"/>
  <c r="BY184" i="1"/>
  <c r="BZ184" i="1"/>
  <c r="BX184" i="1"/>
  <c r="CA184" i="1"/>
  <c r="BZ209" i="1"/>
  <c r="BX209" i="1"/>
  <c r="BY209" i="1"/>
  <c r="CA209" i="1"/>
  <c r="BZ230" i="1"/>
  <c r="CA230" i="1"/>
  <c r="BY230" i="1"/>
  <c r="BX230" i="1"/>
  <c r="CA251" i="1"/>
  <c r="BZ251" i="1"/>
  <c r="BX251" i="1"/>
  <c r="BY251" i="1"/>
  <c r="CA273" i="1"/>
  <c r="BZ273" i="1"/>
  <c r="BX273" i="1"/>
  <c r="BY273" i="1"/>
  <c r="BY183" i="1"/>
  <c r="CA183" i="1"/>
  <c r="BX183" i="1"/>
  <c r="BZ183" i="1"/>
  <c r="BJ279" i="1"/>
  <c r="BN279" i="1" s="1"/>
  <c r="CB279" i="1"/>
  <c r="BJ207" i="1"/>
  <c r="BM207" i="1" s="1"/>
  <c r="CB207" i="1"/>
  <c r="CC263" i="1"/>
  <c r="CC243" i="1"/>
  <c r="AL223" i="1"/>
  <c r="CC223" i="1"/>
  <c r="AL198" i="1"/>
  <c r="CC198" i="1"/>
  <c r="AL178" i="1"/>
  <c r="CC178" i="1"/>
  <c r="CC157" i="1"/>
  <c r="AL137" i="1"/>
  <c r="CC137" i="1"/>
  <c r="CC117" i="1"/>
  <c r="CC97" i="1"/>
  <c r="CC77" i="1"/>
  <c r="AL50" i="1"/>
  <c r="CC50" i="1"/>
  <c r="CC9" i="1"/>
  <c r="AL274" i="1"/>
  <c r="CC274" i="1"/>
  <c r="CB8" i="1"/>
  <c r="BJ24" i="1"/>
  <c r="BM24" i="1" s="1"/>
  <c r="CB24" i="1"/>
  <c r="BJ50" i="1"/>
  <c r="BN50" i="1" s="1"/>
  <c r="CB50" i="1"/>
  <c r="BJ73" i="1"/>
  <c r="BN73" i="1" s="1"/>
  <c r="CB73" i="1"/>
  <c r="BJ96" i="1"/>
  <c r="BL96" i="1" s="1"/>
  <c r="CB96" i="1"/>
  <c r="BJ117" i="1"/>
  <c r="BM117" i="1" s="1"/>
  <c r="CB117" i="1"/>
  <c r="BJ138" i="1"/>
  <c r="BM138" i="1" s="1"/>
  <c r="CB138" i="1"/>
  <c r="BJ159" i="1"/>
  <c r="BM159" i="1" s="1"/>
  <c r="CB159" i="1"/>
  <c r="CB182" i="1"/>
  <c r="CB208" i="1"/>
  <c r="CB229" i="1"/>
  <c r="BJ249" i="1"/>
  <c r="BN249" i="1" s="1"/>
  <c r="CB249" i="1"/>
  <c r="BJ271" i="1"/>
  <c r="BM271" i="1" s="1"/>
  <c r="CB271" i="1"/>
  <c r="CA73" i="1"/>
  <c r="BX73" i="1"/>
  <c r="BY73" i="1"/>
  <c r="BZ73" i="1"/>
  <c r="CA94" i="1"/>
  <c r="BZ94" i="1"/>
  <c r="BY94" i="1"/>
  <c r="BX94" i="1"/>
  <c r="CA116" i="1"/>
  <c r="BZ116" i="1"/>
  <c r="BX116" i="1"/>
  <c r="BY116" i="1"/>
  <c r="BZ185" i="1"/>
  <c r="BX185" i="1"/>
  <c r="CA185" i="1"/>
  <c r="BY185" i="1"/>
  <c r="CA210" i="1"/>
  <c r="BY210" i="1"/>
  <c r="BX210" i="1"/>
  <c r="BZ210" i="1"/>
  <c r="CA231" i="1"/>
  <c r="BY231" i="1"/>
  <c r="BZ231" i="1"/>
  <c r="BX231" i="1"/>
  <c r="CA252" i="1"/>
  <c r="BX252" i="1"/>
  <c r="BY252" i="1"/>
  <c r="BZ252" i="1"/>
  <c r="CA274" i="1"/>
  <c r="BZ274" i="1"/>
  <c r="BX274" i="1"/>
  <c r="BY274" i="1"/>
  <c r="BJ95" i="1"/>
  <c r="BN95" i="1" s="1"/>
  <c r="CB95" i="1"/>
  <c r="CB61" i="1"/>
  <c r="BZ43" i="1"/>
  <c r="BX43" i="1"/>
  <c r="BY43" i="1"/>
  <c r="CA43" i="1"/>
  <c r="AL118" i="1"/>
  <c r="CC118" i="1"/>
  <c r="BJ72" i="1"/>
  <c r="BL72" i="1" s="1"/>
  <c r="CB72" i="1"/>
  <c r="AL177" i="1"/>
  <c r="CC177" i="1"/>
  <c r="CC116" i="1"/>
  <c r="CC96" i="1"/>
  <c r="AL49" i="1"/>
  <c r="CC49" i="1"/>
  <c r="BJ25" i="1"/>
  <c r="BM25" i="1" s="1"/>
  <c r="CB25" i="1"/>
  <c r="BJ118" i="1"/>
  <c r="BL118" i="1" s="1"/>
  <c r="CB118" i="1"/>
  <c r="BJ139" i="1"/>
  <c r="BM139" i="1" s="1"/>
  <c r="CB139" i="1"/>
  <c r="BJ184" i="1"/>
  <c r="BN184" i="1" s="1"/>
  <c r="CB184" i="1"/>
  <c r="CB209" i="1"/>
  <c r="CB230" i="1"/>
  <c r="BJ250" i="1"/>
  <c r="BM250" i="1" s="1"/>
  <c r="CB250" i="1"/>
  <c r="BY21" i="1"/>
  <c r="BX21" i="1"/>
  <c r="BZ21" i="1"/>
  <c r="CA21" i="1"/>
  <c r="CA74" i="1"/>
  <c r="BX74" i="1"/>
  <c r="BY74" i="1"/>
  <c r="BZ74" i="1"/>
  <c r="CA96" i="1"/>
  <c r="BZ96" i="1"/>
  <c r="BX96" i="1"/>
  <c r="BY96" i="1"/>
  <c r="CA117" i="1"/>
  <c r="BZ117" i="1"/>
  <c r="BX117" i="1"/>
  <c r="BY117" i="1"/>
  <c r="BY186" i="1"/>
  <c r="CA186" i="1"/>
  <c r="BX186" i="1"/>
  <c r="BZ186" i="1"/>
  <c r="CA232" i="1"/>
  <c r="BX232" i="1"/>
  <c r="BY232" i="1"/>
  <c r="BZ232" i="1"/>
  <c r="CA253" i="1"/>
  <c r="BY253" i="1"/>
  <c r="BX253" i="1"/>
  <c r="BZ253" i="1"/>
  <c r="CA275" i="1"/>
  <c r="BY275" i="1"/>
  <c r="BX275" i="1"/>
  <c r="BZ275" i="1"/>
  <c r="BX95" i="1"/>
  <c r="BZ95" i="1"/>
  <c r="CA95" i="1"/>
  <c r="BY95" i="1"/>
  <c r="BJ196" i="1"/>
  <c r="BL196" i="1" s="1"/>
  <c r="CB196" i="1"/>
  <c r="BY61" i="1"/>
  <c r="BZ61" i="1"/>
  <c r="CA61" i="1"/>
  <c r="BX61" i="1"/>
  <c r="BZ63" i="1"/>
  <c r="BX63" i="1"/>
  <c r="BY63" i="1"/>
  <c r="CA63" i="1"/>
  <c r="AL261" i="1"/>
  <c r="CC261" i="1"/>
  <c r="AL221" i="1"/>
  <c r="CC221" i="1"/>
  <c r="AL155" i="1"/>
  <c r="CC155" i="1"/>
  <c r="AL135" i="1"/>
  <c r="CC135" i="1"/>
  <c r="AL95" i="1"/>
  <c r="AL75" i="1"/>
  <c r="CC75" i="1"/>
  <c r="AL48" i="1"/>
  <c r="CC48" i="1"/>
  <c r="BJ30" i="1"/>
  <c r="BN30" i="1" s="1"/>
  <c r="CB30" i="1"/>
  <c r="BJ52" i="1"/>
  <c r="BL52" i="1" s="1"/>
  <c r="CB52" i="1"/>
  <c r="BJ75" i="1"/>
  <c r="BN75" i="1" s="1"/>
  <c r="CB75" i="1"/>
  <c r="BJ98" i="1"/>
  <c r="BN98" i="1" s="1"/>
  <c r="CB98" i="1"/>
  <c r="BJ140" i="1"/>
  <c r="BM140" i="1" s="1"/>
  <c r="CB140" i="1"/>
  <c r="BJ210" i="1"/>
  <c r="BN210" i="1" s="1"/>
  <c r="CB210" i="1"/>
  <c r="BJ231" i="1"/>
  <c r="BN231" i="1" s="1"/>
  <c r="CB231" i="1"/>
  <c r="BJ251" i="1"/>
  <c r="BN251" i="1" s="1"/>
  <c r="CB251" i="1"/>
  <c r="BY24" i="1"/>
  <c r="BZ24" i="1"/>
  <c r="CA24" i="1"/>
  <c r="BX24" i="1"/>
  <c r="BZ97" i="1"/>
  <c r="CA97" i="1"/>
  <c r="BX97" i="1"/>
  <c r="BY97" i="1"/>
  <c r="BZ118" i="1"/>
  <c r="CA118" i="1"/>
  <c r="BX118" i="1"/>
  <c r="BY118" i="1"/>
  <c r="BY187" i="1"/>
  <c r="BZ187" i="1"/>
  <c r="BX187" i="1"/>
  <c r="CA187" i="1"/>
  <c r="CA212" i="1"/>
  <c r="BY212" i="1"/>
  <c r="BZ212" i="1"/>
  <c r="BX212" i="1"/>
  <c r="BY233" i="1"/>
  <c r="BZ233" i="1"/>
  <c r="BX233" i="1"/>
  <c r="CA233" i="1"/>
  <c r="BX254" i="1"/>
  <c r="BY254" i="1"/>
  <c r="CA254" i="1"/>
  <c r="BZ254" i="1"/>
  <c r="CA276" i="1"/>
  <c r="BX276" i="1"/>
  <c r="BZ276" i="1"/>
  <c r="BY276" i="1"/>
  <c r="CB85" i="1"/>
  <c r="BX205" i="1"/>
  <c r="CA205" i="1"/>
  <c r="BY205" i="1"/>
  <c r="BZ205" i="1"/>
  <c r="CB263" i="1"/>
  <c r="AL260" i="1"/>
  <c r="CC260" i="1"/>
  <c r="AL195" i="1"/>
  <c r="CC195" i="1"/>
  <c r="CC175" i="1"/>
  <c r="AL154" i="1"/>
  <c r="CC154" i="1"/>
  <c r="AL134" i="1"/>
  <c r="CC134" i="1"/>
  <c r="CC114" i="1"/>
  <c r="CC94" i="1"/>
  <c r="CC74" i="1"/>
  <c r="AL47" i="1"/>
  <c r="CC47" i="1"/>
  <c r="BJ33" i="1"/>
  <c r="BN33" i="1" s="1"/>
  <c r="CB33" i="1"/>
  <c r="BJ53" i="1"/>
  <c r="BM53" i="1" s="1"/>
  <c r="CB53" i="1"/>
  <c r="BJ76" i="1"/>
  <c r="BL76" i="1" s="1"/>
  <c r="CB76" i="1"/>
  <c r="BJ99" i="1"/>
  <c r="BM99" i="1" s="1"/>
  <c r="CB99" i="1"/>
  <c r="BJ120" i="1"/>
  <c r="BN120" i="1" s="1"/>
  <c r="CB120" i="1"/>
  <c r="BJ162" i="1"/>
  <c r="BN162" i="1" s="1"/>
  <c r="CB162" i="1"/>
  <c r="CB186" i="1"/>
  <c r="BJ211" i="1"/>
  <c r="BN211" i="1" s="1"/>
  <c r="CB211" i="1"/>
  <c r="CB232" i="1"/>
  <c r="BX33" i="1"/>
  <c r="BZ33" i="1"/>
  <c r="BY33" i="1"/>
  <c r="CA33" i="1"/>
  <c r="CA98" i="1"/>
  <c r="BX98" i="1"/>
  <c r="BZ98" i="1"/>
  <c r="BY98" i="1"/>
  <c r="BZ119" i="1"/>
  <c r="CA119" i="1"/>
  <c r="BX119" i="1"/>
  <c r="BY119" i="1"/>
  <c r="BZ188" i="1"/>
  <c r="BX188" i="1"/>
  <c r="CA188" i="1"/>
  <c r="BY188" i="1"/>
  <c r="BZ213" i="1"/>
  <c r="CA213" i="1"/>
  <c r="BX213" i="1"/>
  <c r="BY213" i="1"/>
  <c r="BY234" i="1"/>
  <c r="BZ234" i="1"/>
  <c r="BX234" i="1"/>
  <c r="CA234" i="1"/>
  <c r="BZ255" i="1"/>
  <c r="CA255" i="1"/>
  <c r="BX255" i="1"/>
  <c r="BY255" i="1"/>
  <c r="BY278" i="1"/>
  <c r="CA278" i="1"/>
  <c r="BX278" i="1"/>
  <c r="BZ278" i="1"/>
  <c r="BJ111" i="1"/>
  <c r="BN111" i="1" s="1"/>
  <c r="CB111" i="1"/>
  <c r="BY127" i="1"/>
  <c r="BX127" i="1"/>
  <c r="BZ127" i="1"/>
  <c r="CA127" i="1"/>
  <c r="BY87" i="1"/>
  <c r="CA87" i="1"/>
  <c r="BX87" i="1"/>
  <c r="BZ87" i="1"/>
  <c r="CC259" i="1"/>
  <c r="AL239" i="1"/>
  <c r="CC239" i="1"/>
  <c r="AL174" i="1"/>
  <c r="CC174" i="1"/>
  <c r="AL133" i="1"/>
  <c r="CC133" i="1"/>
  <c r="AL93" i="1"/>
  <c r="CC93" i="1"/>
  <c r="AL73" i="1"/>
  <c r="CC73" i="1"/>
  <c r="AL46" i="1"/>
  <c r="CC46" i="1"/>
  <c r="CB100" i="1"/>
  <c r="CB121" i="1"/>
  <c r="BJ142" i="1"/>
  <c r="BM142" i="1" s="1"/>
  <c r="CB142" i="1"/>
  <c r="CB187" i="1"/>
  <c r="CB212" i="1"/>
  <c r="BJ233" i="1"/>
  <c r="BM233" i="1" s="1"/>
  <c r="CB233" i="1"/>
  <c r="BJ253" i="1"/>
  <c r="BM253" i="1" s="1"/>
  <c r="CB253" i="1"/>
  <c r="BJ275" i="1"/>
  <c r="BM275" i="1" s="1"/>
  <c r="CB275" i="1"/>
  <c r="CA34" i="1"/>
  <c r="BX34" i="1"/>
  <c r="BZ34" i="1"/>
  <c r="BY34" i="1"/>
  <c r="BY77" i="1"/>
  <c r="BX77" i="1"/>
  <c r="BZ77" i="1"/>
  <c r="CA77" i="1"/>
  <c r="BZ99" i="1"/>
  <c r="CA99" i="1"/>
  <c r="BX99" i="1"/>
  <c r="BY99" i="1"/>
  <c r="BZ120" i="1"/>
  <c r="BX120" i="1"/>
  <c r="CA120" i="1"/>
  <c r="BY120" i="1"/>
  <c r="CA189" i="1"/>
  <c r="BX189" i="1"/>
  <c r="BZ189" i="1"/>
  <c r="BY189" i="1"/>
  <c r="BZ214" i="1"/>
  <c r="BX214" i="1"/>
  <c r="CA214" i="1"/>
  <c r="BY214" i="1"/>
  <c r="BY235" i="1"/>
  <c r="CA235" i="1"/>
  <c r="BZ235" i="1"/>
  <c r="BX235" i="1"/>
  <c r="BZ257" i="1"/>
  <c r="BX257" i="1"/>
  <c r="CA257" i="1"/>
  <c r="BY257" i="1"/>
  <c r="CA108" i="1"/>
  <c r="BX108" i="1"/>
  <c r="BY108" i="1"/>
  <c r="BZ108" i="1"/>
  <c r="BJ216" i="1"/>
  <c r="BL216" i="1" s="1"/>
  <c r="CB216" i="1"/>
  <c r="BX62" i="1"/>
  <c r="BY62" i="1"/>
  <c r="BZ62" i="1"/>
  <c r="CA62" i="1"/>
  <c r="AL146" i="1"/>
  <c r="CC146" i="1"/>
  <c r="BJ240" i="1"/>
  <c r="BN240" i="1" s="1"/>
  <c r="CB240" i="1"/>
  <c r="CC145" i="1"/>
  <c r="BY64" i="1"/>
  <c r="BX64" i="1"/>
  <c r="BZ64" i="1"/>
  <c r="CA64" i="1"/>
  <c r="AL210" i="1"/>
  <c r="CC210" i="1"/>
  <c r="CC143" i="1"/>
  <c r="CC122" i="1"/>
  <c r="AL245" i="1"/>
  <c r="CC245" i="1"/>
  <c r="BJ156" i="1"/>
  <c r="BL156" i="1" s="1"/>
  <c r="CB156" i="1"/>
  <c r="AL264" i="1"/>
  <c r="CC264" i="1"/>
  <c r="AL138" i="1"/>
  <c r="CC138" i="1"/>
  <c r="BJ137" i="1"/>
  <c r="BL137" i="1" s="1"/>
  <c r="CB137" i="1"/>
  <c r="AL136" i="1"/>
  <c r="CC136" i="1"/>
  <c r="AL152" i="1"/>
  <c r="CC152" i="1"/>
  <c r="AL92" i="1"/>
  <c r="CC92" i="1"/>
  <c r="CC24" i="1"/>
  <c r="BJ35" i="1"/>
  <c r="BM35" i="1" s="1"/>
  <c r="CB35" i="1"/>
  <c r="BJ55" i="1"/>
  <c r="BL55" i="1" s="1"/>
  <c r="CB55" i="1"/>
  <c r="BJ78" i="1"/>
  <c r="BN78" i="1" s="1"/>
  <c r="CB78" i="1"/>
  <c r="BJ164" i="1"/>
  <c r="BL164" i="1" s="1"/>
  <c r="CB164" i="1"/>
  <c r="BJ213" i="1"/>
  <c r="BN213" i="1" s="1"/>
  <c r="CB213" i="1"/>
  <c r="BJ234" i="1"/>
  <c r="BM234" i="1" s="1"/>
  <c r="CB234" i="1"/>
  <c r="BX35" i="1"/>
  <c r="BZ35" i="1"/>
  <c r="CA35" i="1"/>
  <c r="BY35" i="1"/>
  <c r="BY78" i="1"/>
  <c r="BX78" i="1"/>
  <c r="BZ78" i="1"/>
  <c r="CA78" i="1"/>
  <c r="CA100" i="1"/>
  <c r="BY100" i="1"/>
  <c r="BX100" i="1"/>
  <c r="BZ100" i="1"/>
  <c r="CA121" i="1"/>
  <c r="BX121" i="1"/>
  <c r="BY121" i="1"/>
  <c r="BZ121" i="1"/>
  <c r="BZ190" i="1"/>
  <c r="BY190" i="1"/>
  <c r="BX190" i="1"/>
  <c r="CA190" i="1"/>
  <c r="BX215" i="1"/>
  <c r="BZ215" i="1"/>
  <c r="CA215" i="1"/>
  <c r="BY215" i="1"/>
  <c r="BY236" i="1"/>
  <c r="BZ236" i="1"/>
  <c r="BX236" i="1"/>
  <c r="CA236" i="1"/>
  <c r="BY258" i="1"/>
  <c r="BZ258" i="1"/>
  <c r="BX258" i="1"/>
  <c r="CA258" i="1"/>
  <c r="BJ166" i="1"/>
  <c r="BM166" i="1" s="1"/>
  <c r="CB166" i="1"/>
  <c r="BY216" i="1"/>
  <c r="BX216" i="1"/>
  <c r="BZ216" i="1"/>
  <c r="CA216" i="1"/>
  <c r="AL39" i="1"/>
  <c r="CC39" i="1"/>
  <c r="BJ106" i="1"/>
  <c r="BN106" i="1" s="1"/>
  <c r="CB106" i="1"/>
  <c r="BX40" i="1"/>
  <c r="BY40" i="1"/>
  <c r="CA40" i="1"/>
  <c r="BZ40" i="1"/>
  <c r="BZ241" i="1"/>
  <c r="CA241" i="1"/>
  <c r="BY241" i="1"/>
  <c r="BX241" i="1"/>
  <c r="AL63" i="1"/>
  <c r="CC63" i="1"/>
  <c r="BJ261" i="1"/>
  <c r="BN261" i="1" s="1"/>
  <c r="CB261" i="1"/>
  <c r="CA264" i="1"/>
  <c r="BY264" i="1"/>
  <c r="BZ264" i="1"/>
  <c r="BX264" i="1"/>
  <c r="BJ262" i="1"/>
  <c r="BL262" i="1" s="1"/>
  <c r="CB262" i="1"/>
  <c r="BY223" i="1"/>
  <c r="BZ223" i="1"/>
  <c r="BX223" i="1"/>
  <c r="CA223" i="1"/>
  <c r="AL208" i="1"/>
  <c r="CC208" i="1"/>
  <c r="AL119" i="1"/>
  <c r="CC119" i="1"/>
  <c r="AL30" i="1"/>
  <c r="CC30" i="1"/>
  <c r="BJ181" i="1"/>
  <c r="BN181" i="1" s="1"/>
  <c r="CB181" i="1"/>
  <c r="AL28" i="1"/>
  <c r="CC258" i="1"/>
  <c r="AL238" i="1"/>
  <c r="CC238" i="1"/>
  <c r="AL173" i="1"/>
  <c r="AL112" i="1"/>
  <c r="CC112" i="1"/>
  <c r="CC257" i="1"/>
  <c r="AL237" i="1"/>
  <c r="CC237" i="1"/>
  <c r="CC217" i="1"/>
  <c r="AL192" i="1"/>
  <c r="CC192" i="1"/>
  <c r="CC151" i="1"/>
  <c r="CC131" i="1"/>
  <c r="AL111" i="1"/>
  <c r="AL91" i="1"/>
  <c r="CC91" i="1"/>
  <c r="AL71" i="1"/>
  <c r="CC71" i="1"/>
  <c r="AL68" i="1"/>
  <c r="CC68" i="1"/>
  <c r="BJ36" i="1"/>
  <c r="BM36" i="1" s="1"/>
  <c r="CB36" i="1"/>
  <c r="BJ79" i="1"/>
  <c r="BM79" i="1" s="1"/>
  <c r="CB79" i="1"/>
  <c r="BJ123" i="1"/>
  <c r="BN123" i="1" s="1"/>
  <c r="CB123" i="1"/>
  <c r="BJ144" i="1"/>
  <c r="BM144" i="1" s="1"/>
  <c r="CB144" i="1"/>
  <c r="BJ189" i="1"/>
  <c r="BN189" i="1" s="1"/>
  <c r="CB189" i="1"/>
  <c r="BJ214" i="1"/>
  <c r="BN214" i="1" s="1"/>
  <c r="CB214" i="1"/>
  <c r="BJ255" i="1"/>
  <c r="BM255" i="1" s="1"/>
  <c r="CB255" i="1"/>
  <c r="BJ277" i="1"/>
  <c r="BL277" i="1" s="1"/>
  <c r="CB277" i="1"/>
  <c r="BX36" i="1"/>
  <c r="BZ36" i="1"/>
  <c r="BY36" i="1"/>
  <c r="CA36" i="1"/>
  <c r="CA101" i="1"/>
  <c r="BY101" i="1"/>
  <c r="BX101" i="1"/>
  <c r="BZ101" i="1"/>
  <c r="CA122" i="1"/>
  <c r="BZ122" i="1"/>
  <c r="BY122" i="1"/>
  <c r="BX122" i="1"/>
  <c r="CA191" i="1"/>
  <c r="BZ191" i="1"/>
  <c r="BY191" i="1"/>
  <c r="BX191" i="1"/>
  <c r="BZ217" i="1"/>
  <c r="BX217" i="1"/>
  <c r="CA217" i="1"/>
  <c r="BY217" i="1"/>
  <c r="BY237" i="1"/>
  <c r="BX237" i="1"/>
  <c r="CA237" i="1"/>
  <c r="BZ237" i="1"/>
  <c r="BZ259" i="1"/>
  <c r="BY259" i="1"/>
  <c r="BX259" i="1"/>
  <c r="CA259" i="1"/>
  <c r="BX166" i="1"/>
  <c r="BY166" i="1"/>
  <c r="BZ166" i="1"/>
  <c r="CA166" i="1"/>
  <c r="BZ105" i="1"/>
  <c r="BY105" i="1"/>
  <c r="BX105" i="1"/>
  <c r="CA105" i="1"/>
  <c r="AL232" i="1"/>
  <c r="CC232" i="1"/>
  <c r="BX197" i="1"/>
  <c r="BY197" i="1"/>
  <c r="BZ197" i="1"/>
  <c r="CA197" i="1"/>
  <c r="BJ56" i="1"/>
  <c r="BL56" i="1" s="1"/>
  <c r="CB56" i="1"/>
  <c r="BJ130" i="1"/>
  <c r="BN130" i="1" s="1"/>
  <c r="CB130" i="1"/>
  <c r="BJ221" i="1"/>
  <c r="BN221" i="1" s="1"/>
  <c r="CB221" i="1"/>
  <c r="AL250" i="1"/>
  <c r="CC250" i="1"/>
  <c r="CC104" i="1"/>
  <c r="BJ242" i="1"/>
  <c r="BN242" i="1" s="1"/>
  <c r="CB242" i="1"/>
  <c r="AL184" i="1"/>
  <c r="CC184" i="1"/>
  <c r="BJ152" i="1"/>
  <c r="BN152" i="1" s="1"/>
  <c r="CB152" i="1"/>
  <c r="BY88" i="1"/>
  <c r="CA88" i="1"/>
  <c r="BZ88" i="1"/>
  <c r="BX88" i="1"/>
  <c r="BZ256" i="1"/>
  <c r="BX256" i="1"/>
  <c r="CA256" i="1"/>
  <c r="BY256" i="1"/>
  <c r="AL34" i="1"/>
  <c r="CC34" i="1"/>
  <c r="AL180" i="1"/>
  <c r="CC180" i="1"/>
  <c r="AL79" i="1"/>
  <c r="CC79" i="1"/>
  <c r="BJ93" i="1"/>
  <c r="BL93" i="1" s="1"/>
  <c r="CB93" i="1"/>
  <c r="BJ180" i="1"/>
  <c r="BM180" i="1" s="1"/>
  <c r="CB180" i="1"/>
  <c r="BJ247" i="1"/>
  <c r="BL247" i="1" s="1"/>
  <c r="CB247" i="1"/>
  <c r="BZ92" i="1"/>
  <c r="BY92" i="1"/>
  <c r="CA92" i="1"/>
  <c r="BX92" i="1"/>
  <c r="BY229" i="1"/>
  <c r="BX229" i="1"/>
  <c r="BZ229" i="1"/>
  <c r="CA229" i="1"/>
  <c r="CC51" i="1"/>
  <c r="AL222" i="1"/>
  <c r="CC222" i="1"/>
  <c r="AL193" i="1"/>
  <c r="CC193" i="1"/>
  <c r="AL236" i="1"/>
  <c r="CC236" i="1"/>
  <c r="CC191" i="1"/>
  <c r="CC150" i="1"/>
  <c r="AL130" i="1"/>
  <c r="CC130" i="1"/>
  <c r="AL110" i="1"/>
  <c r="CC110" i="1"/>
  <c r="AL90" i="1"/>
  <c r="CC90" i="1"/>
  <c r="AL70" i="1"/>
  <c r="CC70" i="1"/>
  <c r="AL271" i="1"/>
  <c r="CC271" i="1"/>
  <c r="AL67" i="1"/>
  <c r="CC67" i="1"/>
  <c r="BJ124" i="1"/>
  <c r="BM124" i="1" s="1"/>
  <c r="CB124" i="1"/>
  <c r="CB190" i="1"/>
  <c r="BJ215" i="1"/>
  <c r="BN215" i="1" s="1"/>
  <c r="CB215" i="1"/>
  <c r="BJ236" i="1"/>
  <c r="BN236" i="1" s="1"/>
  <c r="CB236" i="1"/>
  <c r="CB257" i="1"/>
  <c r="BX37" i="1"/>
  <c r="BZ37" i="1"/>
  <c r="CA37" i="1"/>
  <c r="BY37" i="1"/>
  <c r="BY80" i="1"/>
  <c r="CA80" i="1"/>
  <c r="BX80" i="1"/>
  <c r="BZ80" i="1"/>
  <c r="BY102" i="1"/>
  <c r="BZ102" i="1"/>
  <c r="CA102" i="1"/>
  <c r="BX102" i="1"/>
  <c r="CA123" i="1"/>
  <c r="BX123" i="1"/>
  <c r="BZ123" i="1"/>
  <c r="BY123" i="1"/>
  <c r="BY192" i="1"/>
  <c r="BZ192" i="1"/>
  <c r="CA192" i="1"/>
  <c r="BX192" i="1"/>
  <c r="CA218" i="1"/>
  <c r="BX218" i="1"/>
  <c r="BY218" i="1"/>
  <c r="BZ218" i="1"/>
  <c r="BZ238" i="1"/>
  <c r="CA238" i="1"/>
  <c r="BX238" i="1"/>
  <c r="BY238" i="1"/>
  <c r="BZ260" i="1"/>
  <c r="BY260" i="1"/>
  <c r="CA260" i="1"/>
  <c r="BX260" i="1"/>
  <c r="CA128" i="1"/>
  <c r="BX128" i="1"/>
  <c r="BZ128" i="1"/>
  <c r="BY128" i="1"/>
  <c r="BJ84" i="1"/>
  <c r="BM84" i="1" s="1"/>
  <c r="CB84" i="1"/>
  <c r="BZ84" i="1"/>
  <c r="BX84" i="1"/>
  <c r="CA84" i="1"/>
  <c r="BY84" i="1"/>
  <c r="BJ129" i="1"/>
  <c r="BN129" i="1" s="1"/>
  <c r="CB129" i="1"/>
  <c r="BJ167" i="1"/>
  <c r="BN167" i="1" s="1"/>
  <c r="CB167" i="1"/>
  <c r="AL251" i="1"/>
  <c r="CC251" i="1"/>
  <c r="AL278" i="1"/>
  <c r="CC278" i="1"/>
  <c r="BJ195" i="1"/>
  <c r="BL195" i="1" s="1"/>
  <c r="CB195" i="1"/>
  <c r="AL61" i="1"/>
  <c r="BJ222" i="1"/>
  <c r="BN222" i="1" s="1"/>
  <c r="CB222" i="1"/>
  <c r="BX130" i="1"/>
  <c r="BZ130" i="1"/>
  <c r="CA130" i="1"/>
  <c r="BY130" i="1"/>
  <c r="BZ266" i="1"/>
  <c r="BY266" i="1"/>
  <c r="CA266" i="1"/>
  <c r="BX266" i="1"/>
  <c r="AL249" i="1"/>
  <c r="CC249" i="1"/>
  <c r="AL60" i="1"/>
  <c r="CC60" i="1"/>
  <c r="BX106" i="1"/>
  <c r="BZ106" i="1"/>
  <c r="BY106" i="1"/>
  <c r="CA106" i="1"/>
  <c r="CC99" i="1"/>
  <c r="AL179" i="1"/>
  <c r="CC179" i="1"/>
  <c r="CC78" i="1"/>
  <c r="AL272" i="1"/>
  <c r="CC272" i="1"/>
  <c r="AL218" i="1"/>
  <c r="CC218" i="1"/>
  <c r="AL132" i="1"/>
  <c r="CC132" i="1"/>
  <c r="CC255" i="1"/>
  <c r="CC235" i="1"/>
  <c r="CC215" i="1"/>
  <c r="CC190" i="1"/>
  <c r="AL149" i="1"/>
  <c r="CC149" i="1"/>
  <c r="CC109" i="1"/>
  <c r="AL69" i="1"/>
  <c r="AL41" i="1"/>
  <c r="CC41" i="1"/>
  <c r="AL21" i="1"/>
  <c r="CC21" i="1"/>
  <c r="CC66" i="1"/>
  <c r="BJ9" i="1"/>
  <c r="BM9" i="1" s="1"/>
  <c r="CB9" i="1"/>
  <c r="BJ38" i="1"/>
  <c r="BM38" i="1" s="1"/>
  <c r="CB38" i="1"/>
  <c r="BJ59" i="1"/>
  <c r="BM59" i="1" s="1"/>
  <c r="CB59" i="1"/>
  <c r="BJ81" i="1"/>
  <c r="BN81" i="1" s="1"/>
  <c r="CB81" i="1"/>
  <c r="BJ191" i="1"/>
  <c r="BN191" i="1" s="1"/>
  <c r="CB191" i="1"/>
  <c r="CB217" i="1"/>
  <c r="CB237" i="1"/>
  <c r="CB258" i="1"/>
  <c r="BJ280" i="1"/>
  <c r="BM280" i="1" s="1"/>
  <c r="CB280" i="1"/>
  <c r="BY38" i="1"/>
  <c r="BZ38" i="1"/>
  <c r="CA38" i="1"/>
  <c r="BX38" i="1"/>
  <c r="BY103" i="1"/>
  <c r="BZ103" i="1"/>
  <c r="CA103" i="1"/>
  <c r="BX103" i="1"/>
  <c r="BY124" i="1"/>
  <c r="CA124" i="1"/>
  <c r="BZ124" i="1"/>
  <c r="BX124" i="1"/>
  <c r="CA193" i="1"/>
  <c r="BX193" i="1"/>
  <c r="BY193" i="1"/>
  <c r="BZ193" i="1"/>
  <c r="BZ219" i="1"/>
  <c r="CA219" i="1"/>
  <c r="BX219" i="1"/>
  <c r="BY219" i="1"/>
  <c r="CA261" i="1"/>
  <c r="BY261" i="1"/>
  <c r="BX261" i="1"/>
  <c r="BZ261" i="1"/>
  <c r="BY263" i="1"/>
  <c r="BZ263" i="1"/>
  <c r="BX263" i="1"/>
  <c r="CA263" i="1"/>
  <c r="AL212" i="1"/>
  <c r="CC212" i="1"/>
  <c r="AL126" i="1"/>
  <c r="CC126" i="1"/>
  <c r="CA222" i="1"/>
  <c r="BY222" i="1"/>
  <c r="BZ222" i="1"/>
  <c r="BX222" i="1"/>
  <c r="BY129" i="1"/>
  <c r="BZ129" i="1"/>
  <c r="CA129" i="1"/>
  <c r="BX129" i="1"/>
  <c r="AL230" i="1"/>
  <c r="CC230" i="1"/>
  <c r="CC144" i="1"/>
  <c r="BJ43" i="1"/>
  <c r="BL43" i="1" s="1"/>
  <c r="CB43" i="1"/>
  <c r="BJ131" i="1"/>
  <c r="BN131" i="1" s="1"/>
  <c r="CB131" i="1"/>
  <c r="BY65" i="1"/>
  <c r="BZ65" i="1"/>
  <c r="BX65" i="1"/>
  <c r="CA65" i="1"/>
  <c r="CA245" i="1"/>
  <c r="BX245" i="1"/>
  <c r="BY245" i="1"/>
  <c r="BZ245" i="1"/>
  <c r="AL83" i="1"/>
  <c r="BJ132" i="1"/>
  <c r="BM132" i="1" s="1"/>
  <c r="CB132" i="1"/>
  <c r="BJ199" i="1"/>
  <c r="BM199" i="1" s="1"/>
  <c r="CB199" i="1"/>
  <c r="BY201" i="1"/>
  <c r="CA201" i="1"/>
  <c r="BZ201" i="1"/>
  <c r="BX201" i="1"/>
  <c r="CC82" i="1"/>
  <c r="AL265" i="1"/>
  <c r="CC265" i="1"/>
  <c r="CC159" i="1"/>
  <c r="BJ136" i="1"/>
  <c r="BN136" i="1" s="1"/>
  <c r="CB136" i="1"/>
  <c r="BY207" i="1"/>
  <c r="BZ207" i="1"/>
  <c r="CA207" i="1"/>
  <c r="BX207" i="1"/>
  <c r="CC76" i="1"/>
  <c r="AL43" i="1"/>
  <c r="CC43" i="1"/>
  <c r="AL254" i="1"/>
  <c r="CC254" i="1"/>
  <c r="CC234" i="1"/>
  <c r="CC214" i="1"/>
  <c r="CC189" i="1"/>
  <c r="AL169" i="1"/>
  <c r="CC169" i="1"/>
  <c r="AL108" i="1"/>
  <c r="CC108" i="1"/>
  <c r="AL88" i="1"/>
  <c r="CC88" i="1"/>
  <c r="CC65" i="1"/>
  <c r="AL40" i="1"/>
  <c r="CC40" i="1"/>
  <c r="AL20" i="1"/>
  <c r="CC20" i="1"/>
  <c r="AL277" i="1"/>
  <c r="CC277" i="1"/>
  <c r="CB10" i="1"/>
  <c r="BJ39" i="1"/>
  <c r="BN39" i="1" s="1"/>
  <c r="CB39" i="1"/>
  <c r="BJ60" i="1"/>
  <c r="BM60" i="1" s="1"/>
  <c r="CB60" i="1"/>
  <c r="BJ105" i="1"/>
  <c r="BN105" i="1" s="1"/>
  <c r="CB105" i="1"/>
  <c r="CB126" i="1"/>
  <c r="CB192" i="1"/>
  <c r="CB218" i="1"/>
  <c r="CB238" i="1"/>
  <c r="BJ259" i="1"/>
  <c r="BM259" i="1" s="1"/>
  <c r="CB259" i="1"/>
  <c r="BZ39" i="1"/>
  <c r="BY39" i="1"/>
  <c r="BX39" i="1"/>
  <c r="CA39" i="1"/>
  <c r="BY82" i="1"/>
  <c r="BX82" i="1"/>
  <c r="CA82" i="1"/>
  <c r="BZ82" i="1"/>
  <c r="BY104" i="1"/>
  <c r="BZ104" i="1"/>
  <c r="CA104" i="1"/>
  <c r="BX104" i="1"/>
  <c r="CA125" i="1"/>
  <c r="BY125" i="1"/>
  <c r="BZ125" i="1"/>
  <c r="BX125" i="1"/>
  <c r="CA194" i="1"/>
  <c r="BX194" i="1"/>
  <c r="BY194" i="1"/>
  <c r="BZ194" i="1"/>
  <c r="CA220" i="1"/>
  <c r="BX220" i="1"/>
  <c r="BZ220" i="1"/>
  <c r="BY220" i="1"/>
  <c r="AL248" i="1"/>
  <c r="AL102" i="1"/>
  <c r="AX233" i="1"/>
  <c r="BB233" i="1" s="1"/>
  <c r="AK8" i="1"/>
  <c r="BP4" i="1"/>
  <c r="CV228" i="1"/>
  <c r="AL247" i="1"/>
  <c r="AR19" i="1"/>
  <c r="CC19" i="1" s="1"/>
  <c r="BD19" i="1"/>
  <c r="BJ19" i="1" s="1"/>
  <c r="AX37" i="1"/>
  <c r="BB37" i="1" s="1"/>
  <c r="AX247" i="1"/>
  <c r="BB247" i="1" s="1"/>
  <c r="AX246" i="1"/>
  <c r="BB246" i="1" s="1"/>
  <c r="BU4" i="1"/>
  <c r="CV128" i="1"/>
  <c r="CV42" i="1"/>
  <c r="CV267" i="1"/>
  <c r="CV243" i="1"/>
  <c r="AX219" i="1"/>
  <c r="BB219" i="1" s="1"/>
  <c r="AX86" i="1"/>
  <c r="BB86" i="1" s="1"/>
  <c r="AX218" i="1"/>
  <c r="BB218" i="1" s="1"/>
  <c r="CV167" i="1"/>
  <c r="AX124" i="1"/>
  <c r="AZ124" i="1" s="1"/>
  <c r="AX59" i="1"/>
  <c r="BB59" i="1" s="1"/>
  <c r="AX164" i="1"/>
  <c r="BA164" i="1" s="1"/>
  <c r="AX123" i="1"/>
  <c r="AZ123" i="1" s="1"/>
  <c r="AX101" i="1"/>
  <c r="AZ101" i="1" s="1"/>
  <c r="CV111" i="1"/>
  <c r="AL77" i="1"/>
  <c r="AX180" i="1"/>
  <c r="BB180" i="1" s="1"/>
  <c r="AX224" i="1"/>
  <c r="BA224" i="1" s="1"/>
  <c r="AL114" i="1"/>
  <c r="AR196" i="1"/>
  <c r="AX196" i="1" s="1"/>
  <c r="BB196" i="1" s="1"/>
  <c r="AX65" i="1"/>
  <c r="AZ65" i="1" s="1"/>
  <c r="AX17" i="1"/>
  <c r="BA17" i="1" s="1"/>
  <c r="AL188" i="1"/>
  <c r="AR128" i="1"/>
  <c r="AX128" i="1" s="1"/>
  <c r="BB128" i="1" s="1"/>
  <c r="AX64" i="1"/>
  <c r="CV158" i="1"/>
  <c r="AX14" i="1"/>
  <c r="BA14" i="1" s="1"/>
  <c r="CV198" i="1"/>
  <c r="AL104" i="1"/>
  <c r="CV95" i="1"/>
  <c r="CV28" i="1"/>
  <c r="AL121" i="1"/>
  <c r="AX104" i="1"/>
  <c r="BB104" i="1" s="1"/>
  <c r="CV19" i="1"/>
  <c r="AX122" i="1"/>
  <c r="AZ122" i="1" s="1"/>
  <c r="Z6" i="1"/>
  <c r="AX163" i="1"/>
  <c r="BA163" i="1" s="1"/>
  <c r="AX102" i="1"/>
  <c r="BA102" i="1" s="1"/>
  <c r="AX12" i="1"/>
  <c r="BB12" i="1" s="1"/>
  <c r="AX161" i="1"/>
  <c r="BA161" i="1" s="1"/>
  <c r="AX58" i="1"/>
  <c r="AZ58" i="1" s="1"/>
  <c r="AX166" i="1"/>
  <c r="AZ166" i="1" s="1"/>
  <c r="AA6" i="1"/>
  <c r="CV61" i="1"/>
  <c r="AX103" i="1"/>
  <c r="BA103" i="1" s="1"/>
  <c r="CV216" i="1"/>
  <c r="AR183" i="1"/>
  <c r="AX183" i="1" s="1"/>
  <c r="BA183" i="1" s="1"/>
  <c r="AX207" i="1"/>
  <c r="AZ207" i="1" s="1"/>
  <c r="AL72" i="1"/>
  <c r="AX117" i="1"/>
  <c r="AZ117" i="1" s="1"/>
  <c r="AX199" i="1"/>
  <c r="BB199" i="1" s="1"/>
  <c r="AX155" i="1"/>
  <c r="BA155" i="1" s="1"/>
  <c r="AX115" i="1"/>
  <c r="BA115" i="1" s="1"/>
  <c r="AL235" i="1"/>
  <c r="AL190" i="1"/>
  <c r="AL170" i="1"/>
  <c r="AX114" i="1"/>
  <c r="AZ114" i="1" s="1"/>
  <c r="AL172" i="1"/>
  <c r="Y6" i="1"/>
  <c r="AL189" i="1"/>
  <c r="AX113" i="1"/>
  <c r="BA113" i="1" s="1"/>
  <c r="AX71" i="1"/>
  <c r="BA71" i="1" s="1"/>
  <c r="AX49" i="1"/>
  <c r="AZ49" i="1" s="1"/>
  <c r="AX25" i="1"/>
  <c r="BA25" i="1" s="1"/>
  <c r="AX167" i="1"/>
  <c r="AZ167" i="1" s="1"/>
  <c r="AL233" i="1"/>
  <c r="AR83" i="1"/>
  <c r="AX83" i="1" s="1"/>
  <c r="AZ83" i="1" s="1"/>
  <c r="AL86" i="1"/>
  <c r="AT6" i="1"/>
  <c r="AR267" i="1"/>
  <c r="CC267" i="1" s="1"/>
  <c r="AX108" i="1"/>
  <c r="AZ108" i="1" s="1"/>
  <c r="AN55" i="1"/>
  <c r="BL245" i="1"/>
  <c r="BM245" i="1"/>
  <c r="BN245" i="1"/>
  <c r="BA151" i="1"/>
  <c r="AP53" i="1"/>
  <c r="BJ8" i="1"/>
  <c r="O69" i="8"/>
  <c r="N70" i="8"/>
  <c r="T70" i="8" s="1"/>
  <c r="O71" i="8"/>
  <c r="N69" i="8"/>
  <c r="BD158" i="1"/>
  <c r="AX193" i="1"/>
  <c r="BA193" i="1" s="1"/>
  <c r="AX16" i="1"/>
  <c r="BA16" i="1" s="1"/>
  <c r="AX263" i="1"/>
  <c r="AZ263" i="1" s="1"/>
  <c r="AX120" i="1"/>
  <c r="AZ120" i="1" s="1"/>
  <c r="AX99" i="1"/>
  <c r="BA99" i="1" s="1"/>
  <c r="AX98" i="1"/>
  <c r="BB98" i="1" s="1"/>
  <c r="AR95" i="1"/>
  <c r="AX95" i="1" s="1"/>
  <c r="AZ95" i="1" s="1"/>
  <c r="AX74" i="1"/>
  <c r="BB74" i="1" s="1"/>
  <c r="AL162" i="1"/>
  <c r="CV56" i="1"/>
  <c r="AW91" i="1"/>
  <c r="CV173" i="1"/>
  <c r="AX170" i="1"/>
  <c r="BB170" i="1" s="1"/>
  <c r="AL165" i="1"/>
  <c r="AL144" i="1"/>
  <c r="AX153" i="1"/>
  <c r="AZ153" i="1" s="1"/>
  <c r="AX255" i="1"/>
  <c r="BB255" i="1" s="1"/>
  <c r="AX192" i="1"/>
  <c r="AZ192" i="1" s="1"/>
  <c r="AX92" i="1"/>
  <c r="BB92" i="1" s="1"/>
  <c r="AL246" i="1"/>
  <c r="AL201" i="1"/>
  <c r="CV279" i="1"/>
  <c r="AX150" i="1"/>
  <c r="BA150" i="1" s="1"/>
  <c r="AX189" i="1"/>
  <c r="AZ189" i="1" s="1"/>
  <c r="AX251" i="1"/>
  <c r="BB251" i="1" s="1"/>
  <c r="AL117" i="1"/>
  <c r="AL9" i="1"/>
  <c r="AX210" i="1"/>
  <c r="BA210" i="1" s="1"/>
  <c r="AX187" i="1"/>
  <c r="BA187" i="1" s="1"/>
  <c r="AX107" i="1"/>
  <c r="BB107" i="1" s="1"/>
  <c r="AX87" i="1"/>
  <c r="BB87" i="1" s="1"/>
  <c r="AL145" i="1"/>
  <c r="AX34" i="1"/>
  <c r="BA34" i="1" s="1"/>
  <c r="AL163" i="1"/>
  <c r="AR256" i="1"/>
  <c r="AX256" i="1" s="1"/>
  <c r="BA256" i="1" s="1"/>
  <c r="AR173" i="1"/>
  <c r="AX173" i="1" s="1"/>
  <c r="BA173" i="1" s="1"/>
  <c r="AX51" i="1"/>
  <c r="BB51" i="1" s="1"/>
  <c r="CV83" i="1"/>
  <c r="AL200" i="1"/>
  <c r="CV183" i="1"/>
  <c r="AX232" i="1"/>
  <c r="BB232" i="1" s="1"/>
  <c r="AX169" i="1"/>
  <c r="AX89" i="1"/>
  <c r="AZ89" i="1" s="1"/>
  <c r="AL98" i="1"/>
  <c r="AX168" i="1"/>
  <c r="AZ168" i="1" s="1"/>
  <c r="AX8" i="1"/>
  <c r="AX209" i="1"/>
  <c r="BA209" i="1" s="1"/>
  <c r="AX186" i="1"/>
  <c r="AZ186" i="1" s="1"/>
  <c r="AX106" i="1"/>
  <c r="BA106" i="1" s="1"/>
  <c r="AL148" i="1"/>
  <c r="AX221" i="1"/>
  <c r="AZ221" i="1" s="1"/>
  <c r="AX78" i="1"/>
  <c r="BB78" i="1" s="1"/>
  <c r="AL187" i="1"/>
  <c r="AX220" i="1"/>
  <c r="BA220" i="1" s="1"/>
  <c r="AX137" i="1"/>
  <c r="BA137" i="1" s="1"/>
  <c r="CV256" i="1"/>
  <c r="CV69" i="1"/>
  <c r="AF166" i="1"/>
  <c r="AX116" i="1"/>
  <c r="BB116" i="1" s="1"/>
  <c r="AL185" i="1"/>
  <c r="AX206" i="1"/>
  <c r="AZ206" i="1" s="1"/>
  <c r="CV166" i="1"/>
  <c r="AL199" i="1"/>
  <c r="AL10" i="1"/>
  <c r="AX248" i="1"/>
  <c r="BB248" i="1" s="1"/>
  <c r="AX165" i="1"/>
  <c r="BB165" i="1" s="1"/>
  <c r="AX125" i="1"/>
  <c r="BA125" i="1" s="1"/>
  <c r="AX44" i="1"/>
  <c r="BA44" i="1" s="1"/>
  <c r="BA18" i="1"/>
  <c r="BA50" i="1"/>
  <c r="CV206" i="1"/>
  <c r="AZ119" i="1"/>
  <c r="CV205" i="1"/>
  <c r="BB119" i="1"/>
  <c r="BB257" i="1"/>
  <c r="BA257" i="1"/>
  <c r="BB127" i="1"/>
  <c r="BA204" i="1"/>
  <c r="BJ254" i="1"/>
  <c r="BB204" i="1"/>
  <c r="BA227" i="1"/>
  <c r="BJ115" i="1"/>
  <c r="BB93" i="1"/>
  <c r="AZ93" i="1"/>
  <c r="AZ57" i="1"/>
  <c r="BB57" i="1"/>
  <c r="AZ42" i="1"/>
  <c r="BA240" i="1"/>
  <c r="BB240" i="1"/>
  <c r="AZ127" i="1"/>
  <c r="BJ197" i="1"/>
  <c r="AZ151" i="1"/>
  <c r="AZ239" i="1"/>
  <c r="BB42" i="1"/>
  <c r="AZ18" i="1"/>
  <c r="AZ159" i="1"/>
  <c r="BB243" i="1"/>
  <c r="BJ230" i="1"/>
  <c r="BA243" i="1"/>
  <c r="BB181" i="1"/>
  <c r="BJ88" i="1"/>
  <c r="AZ135" i="1"/>
  <c r="AL44" i="1"/>
  <c r="AZ143" i="1"/>
  <c r="BB135" i="1"/>
  <c r="BB143" i="1"/>
  <c r="BB142" i="1"/>
  <c r="BA239" i="1"/>
  <c r="AL259" i="1"/>
  <c r="AX63" i="1"/>
  <c r="BB63" i="1" s="1"/>
  <c r="AZ229" i="1"/>
  <c r="BB229" i="1"/>
  <c r="AZ258" i="1"/>
  <c r="BA258" i="1"/>
  <c r="AX70" i="1"/>
  <c r="BA70" i="1" s="1"/>
  <c r="AL120" i="1"/>
  <c r="AL176" i="1"/>
  <c r="AZ48" i="1"/>
  <c r="AX55" i="1"/>
  <c r="BA55" i="1" s="1"/>
  <c r="AL273" i="1"/>
  <c r="AL196" i="1"/>
  <c r="AL96" i="1"/>
  <c r="BA141" i="1"/>
  <c r="AZ141" i="1"/>
  <c r="BB141" i="1"/>
  <c r="BJ49" i="1"/>
  <c r="BJ149" i="1"/>
  <c r="BJ235" i="1"/>
  <c r="AN45" i="1"/>
  <c r="AO45" i="1"/>
  <c r="BJ110" i="1"/>
  <c r="BJ172" i="1"/>
  <c r="BJ192" i="1"/>
  <c r="BJ276" i="1"/>
  <c r="AL66" i="1"/>
  <c r="BB156" i="1"/>
  <c r="BA156" i="1"/>
  <c r="AZ156" i="1"/>
  <c r="AX185" i="1"/>
  <c r="BB250" i="1"/>
  <c r="BJ163" i="1"/>
  <c r="BA261" i="1"/>
  <c r="AZ261" i="1"/>
  <c r="BB261" i="1"/>
  <c r="BJ101" i="1"/>
  <c r="AL220" i="1"/>
  <c r="AL161" i="1"/>
  <c r="BJ208" i="1"/>
  <c r="AZ227" i="1"/>
  <c r="AZ62" i="1"/>
  <c r="BB62" i="1"/>
  <c r="BJ186" i="1"/>
  <c r="BB277" i="1"/>
  <c r="BA93" i="1"/>
  <c r="BJ212" i="1"/>
  <c r="AZ94" i="1"/>
  <c r="BB182" i="1"/>
  <c r="AO55" i="1"/>
  <c r="BA94" i="1"/>
  <c r="AZ182" i="1"/>
  <c r="AP55" i="1"/>
  <c r="BJ45" i="1"/>
  <c r="AZ33" i="1"/>
  <c r="BA33" i="1"/>
  <c r="X6" i="1"/>
  <c r="CV203" i="1"/>
  <c r="BB249" i="1"/>
  <c r="BA249" i="1"/>
  <c r="AZ249" i="1"/>
  <c r="BA154" i="1"/>
  <c r="BB154" i="1"/>
  <c r="AZ154" i="1"/>
  <c r="BB126" i="1"/>
  <c r="AZ126" i="1"/>
  <c r="AX266" i="1"/>
  <c r="BA266" i="1" s="1"/>
  <c r="AL191" i="1"/>
  <c r="AL241" i="1"/>
  <c r="AL85" i="1"/>
  <c r="BB175" i="1"/>
  <c r="AZ175" i="1"/>
  <c r="AX9" i="1"/>
  <c r="BB260" i="1"/>
  <c r="AL256" i="1"/>
  <c r="AL160" i="1"/>
  <c r="AZ238" i="1"/>
  <c r="BB238" i="1"/>
  <c r="BA238" i="1"/>
  <c r="AZ96" i="1"/>
  <c r="BB96" i="1"/>
  <c r="AZ66" i="1"/>
  <c r="BB66" i="1"/>
  <c r="AZ194" i="1"/>
  <c r="BA260" i="1"/>
  <c r="AL240" i="1"/>
  <c r="AL257" i="1"/>
  <c r="AF203" i="1"/>
  <c r="BB194" i="1"/>
  <c r="BB195" i="1"/>
  <c r="AL234" i="1"/>
  <c r="AX145" i="1"/>
  <c r="BA130" i="1"/>
  <c r="AZ130" i="1"/>
  <c r="AX278" i="1"/>
  <c r="BA278" i="1" s="1"/>
  <c r="BA195" i="1"/>
  <c r="AZ273" i="1"/>
  <c r="AL157" i="1"/>
  <c r="AX236" i="1"/>
  <c r="AZ236" i="1" s="1"/>
  <c r="AX144" i="1"/>
  <c r="AZ144" i="1" s="1"/>
  <c r="BA110" i="1"/>
  <c r="AZ110" i="1"/>
  <c r="BB110" i="1"/>
  <c r="AX47" i="1"/>
  <c r="BA47" i="1" s="1"/>
  <c r="AX211" i="1"/>
  <c r="AL143" i="1"/>
  <c r="AX148" i="1"/>
  <c r="AL58" i="1"/>
  <c r="BB109" i="1"/>
  <c r="BA109" i="1"/>
  <c r="AZ109" i="1"/>
  <c r="AO53" i="1"/>
  <c r="AN53" i="1"/>
  <c r="BJ51" i="1"/>
  <c r="BJ71" i="1"/>
  <c r="BJ193" i="1"/>
  <c r="BJ217" i="1"/>
  <c r="BJ237" i="1"/>
  <c r="BJ257" i="1"/>
  <c r="AL164" i="1"/>
  <c r="CV207" i="1"/>
  <c r="AF207" i="1"/>
  <c r="CC207" i="1" s="1"/>
  <c r="AN54" i="1"/>
  <c r="AP54" i="1"/>
  <c r="BJ174" i="1"/>
  <c r="AL8" i="1"/>
  <c r="CC8" i="1"/>
  <c r="AL99" i="1"/>
  <c r="BJ194" i="1"/>
  <c r="BJ218" i="1"/>
  <c r="BJ238" i="1"/>
  <c r="BJ258" i="1"/>
  <c r="BJ278" i="1"/>
  <c r="AL213" i="1"/>
  <c r="AL116" i="1"/>
  <c r="AL78" i="1"/>
  <c r="BB76" i="1"/>
  <c r="AZ76" i="1"/>
  <c r="BA76" i="1"/>
  <c r="BA118" i="1"/>
  <c r="AL258" i="1"/>
  <c r="AL97" i="1"/>
  <c r="AZ184" i="1"/>
  <c r="BB184" i="1"/>
  <c r="AX75" i="1"/>
  <c r="AO57" i="1"/>
  <c r="AP57" i="1"/>
  <c r="AN57" i="1"/>
  <c r="BJ34" i="1"/>
  <c r="BJ54" i="1"/>
  <c r="BJ74" i="1"/>
  <c r="BJ94" i="1"/>
  <c r="BJ114" i="1"/>
  <c r="BJ134" i="1"/>
  <c r="BJ176" i="1"/>
  <c r="BJ220" i="1"/>
  <c r="BJ260" i="1"/>
  <c r="BB241" i="1"/>
  <c r="AZ118" i="1"/>
  <c r="AZ217" i="1"/>
  <c r="BB217" i="1"/>
  <c r="BA241" i="1"/>
  <c r="AZ133" i="1"/>
  <c r="AL275" i="1"/>
  <c r="AL150" i="1"/>
  <c r="AL131" i="1"/>
  <c r="BA215" i="1"/>
  <c r="AZ215" i="1"/>
  <c r="BB215" i="1"/>
  <c r="AZ275" i="1"/>
  <c r="BB275" i="1"/>
  <c r="AL167" i="1"/>
  <c r="BA272" i="1"/>
  <c r="BB272" i="1"/>
  <c r="AZ142" i="1"/>
  <c r="BA275" i="1"/>
  <c r="AZ73" i="1"/>
  <c r="AL244" i="1"/>
  <c r="BA244" i="1"/>
  <c r="AZ244" i="1"/>
  <c r="BB244" i="1"/>
  <c r="BB152" i="1"/>
  <c r="BA152" i="1"/>
  <c r="AX38" i="1"/>
  <c r="BB177" i="1"/>
  <c r="BA177" i="1"/>
  <c r="AL87" i="1"/>
  <c r="AL24" i="1"/>
  <c r="BB133" i="1"/>
  <c r="BB73" i="1"/>
  <c r="AL243" i="1"/>
  <c r="BA268" i="1"/>
  <c r="BB268" i="1"/>
  <c r="BA100" i="1"/>
  <c r="AZ100" i="1"/>
  <c r="BA13" i="1"/>
  <c r="AZ13" i="1"/>
  <c r="BB13" i="1"/>
  <c r="AF204" i="1"/>
  <c r="CC204" i="1" s="1"/>
  <c r="BA159" i="1"/>
  <c r="BA184" i="1"/>
  <c r="AL14" i="1"/>
  <c r="AL122" i="1"/>
  <c r="AL242" i="1"/>
  <c r="AX54" i="1"/>
  <c r="AZ54" i="1" s="1"/>
  <c r="AZ36" i="1"/>
  <c r="BA36" i="1"/>
  <c r="BB36" i="1"/>
  <c r="AO54" i="1"/>
  <c r="AZ79" i="1"/>
  <c r="BB79" i="1"/>
  <c r="BA97" i="1"/>
  <c r="AP45" i="1"/>
  <c r="BJ58" i="1"/>
  <c r="BJ37" i="1"/>
  <c r="BJ57" i="1"/>
  <c r="AZ97" i="1"/>
  <c r="AZ84" i="1"/>
  <c r="AL74" i="1"/>
  <c r="AX136" i="1"/>
  <c r="BB136" i="1" s="1"/>
  <c r="AL219" i="1"/>
  <c r="AZ259" i="1"/>
  <c r="BB258" i="1"/>
  <c r="BA208" i="1"/>
  <c r="BA259" i="1"/>
  <c r="BB84" i="1"/>
  <c r="AX77" i="1"/>
  <c r="AX10" i="1"/>
  <c r="BA10" i="1" s="1"/>
  <c r="BJ272" i="1"/>
  <c r="BB208" i="1"/>
  <c r="AX149" i="1"/>
  <c r="BA134" i="1"/>
  <c r="AZ134" i="1"/>
  <c r="BJ143" i="1"/>
  <c r="BJ65" i="1"/>
  <c r="BJ252" i="1"/>
  <c r="BB20" i="1"/>
  <c r="AZ270" i="1"/>
  <c r="BB270" i="1"/>
  <c r="BJ20" i="1"/>
  <c r="BJ47" i="1"/>
  <c r="BJ147" i="1"/>
  <c r="AZ20" i="1"/>
  <c r="AX225" i="1"/>
  <c r="BB225" i="1" s="1"/>
  <c r="AX212" i="1"/>
  <c r="BB85" i="1"/>
  <c r="AZ85" i="1"/>
  <c r="BJ83" i="1"/>
  <c r="BJ109" i="1"/>
  <c r="BJ171" i="1"/>
  <c r="AL186" i="1"/>
  <c r="BB198" i="1"/>
  <c r="AZ198" i="1"/>
  <c r="BA198" i="1"/>
  <c r="AZ264" i="1"/>
  <c r="BA264" i="1"/>
  <c r="BB264" i="1"/>
  <c r="BB214" i="1"/>
  <c r="AZ214" i="1"/>
  <c r="BA214" i="1"/>
  <c r="AL115" i="1"/>
  <c r="AL18" i="1"/>
  <c r="BB254" i="1"/>
  <c r="BA254" i="1"/>
  <c r="AL128" i="1"/>
  <c r="AL65" i="1"/>
  <c r="AZ177" i="1"/>
  <c r="BA273" i="1"/>
  <c r="BA48" i="1"/>
  <c r="BB50" i="1"/>
  <c r="AL197" i="1"/>
  <c r="AL36" i="1"/>
  <c r="BA231" i="1"/>
  <c r="AZ231" i="1"/>
  <c r="BA129" i="1"/>
  <c r="AZ129" i="1"/>
  <c r="BA88" i="1"/>
  <c r="BB88" i="1"/>
  <c r="AL216" i="1"/>
  <c r="BA229" i="1"/>
  <c r="AL217" i="1"/>
  <c r="AL113" i="1"/>
  <c r="AL56" i="1"/>
  <c r="AX253" i="1"/>
  <c r="AZ242" i="1"/>
  <c r="BA242" i="1"/>
  <c r="BB242" i="1"/>
  <c r="AL231" i="1"/>
  <c r="AX188" i="1"/>
  <c r="AX46" i="1"/>
  <c r="AL33" i="1"/>
  <c r="AL127" i="1"/>
  <c r="AL109" i="1"/>
  <c r="BA201" i="1"/>
  <c r="BB201" i="1"/>
  <c r="AZ201" i="1"/>
  <c r="BB151" i="1"/>
  <c r="BA112" i="1"/>
  <c r="BB112" i="1"/>
  <c r="AZ112" i="1"/>
  <c r="AL263" i="1"/>
  <c r="AL52" i="1"/>
  <c r="BB205" i="1"/>
  <c r="BB203" i="1"/>
  <c r="AZ205" i="1"/>
  <c r="BA200" i="1"/>
  <c r="AZ200" i="1"/>
  <c r="AX162" i="1"/>
  <c r="AX138" i="1"/>
  <c r="BA72" i="1"/>
  <c r="BB72" i="1"/>
  <c r="AL62" i="1"/>
  <c r="BB139" i="1"/>
  <c r="BA146" i="1"/>
  <c r="AL262" i="1"/>
  <c r="AZ139" i="1"/>
  <c r="BA203" i="1"/>
  <c r="AL175" i="1"/>
  <c r="BJ198" i="1"/>
  <c r="BB200" i="1"/>
  <c r="AL276" i="1"/>
  <c r="AZ146" i="1"/>
  <c r="AL159" i="1"/>
  <c r="CE159" i="1" s="1"/>
  <c r="AL125" i="1"/>
  <c r="AL107" i="1"/>
  <c r="AX226" i="1"/>
  <c r="BB172" i="1"/>
  <c r="BA172" i="1"/>
  <c r="AZ24" i="1"/>
  <c r="BA24" i="1"/>
  <c r="AZ272" i="1"/>
  <c r="AL94" i="1"/>
  <c r="BA276" i="1"/>
  <c r="AL158" i="1"/>
  <c r="AL106" i="1"/>
  <c r="BB197" i="1"/>
  <c r="AZ197" i="1"/>
  <c r="AX21" i="1"/>
  <c r="BA174" i="1"/>
  <c r="AZ30" i="1"/>
  <c r="AZ276" i="1"/>
  <c r="AL129" i="1"/>
  <c r="AZ265" i="1"/>
  <c r="AL255" i="1"/>
  <c r="AL171" i="1"/>
  <c r="AZ213" i="1"/>
  <c r="BB213" i="1"/>
  <c r="BA171" i="1"/>
  <c r="BB171" i="1"/>
  <c r="BB82" i="1"/>
  <c r="BA82" i="1"/>
  <c r="AZ41" i="1"/>
  <c r="BB41" i="1"/>
  <c r="AZ269" i="1"/>
  <c r="BA269" i="1"/>
  <c r="BB269" i="1"/>
  <c r="AX271" i="1"/>
  <c r="AL215" i="1"/>
  <c r="AZ174" i="1"/>
  <c r="BA30" i="1"/>
  <c r="AZ202" i="1"/>
  <c r="BB265" i="1"/>
  <c r="AL156" i="1"/>
  <c r="AL42" i="1"/>
  <c r="AL25" i="1"/>
  <c r="AX237" i="1"/>
  <c r="AL51" i="1"/>
  <c r="BA202" i="1"/>
  <c r="BB129" i="1"/>
  <c r="BB147" i="1"/>
  <c r="AZ147" i="1"/>
  <c r="BA147" i="1"/>
  <c r="AX81" i="1"/>
  <c r="AL76" i="1"/>
  <c r="AX68" i="1"/>
  <c r="BB235" i="1"/>
  <c r="BA235" i="1"/>
  <c r="BB222" i="1"/>
  <c r="BA222" i="1"/>
  <c r="BA132" i="1"/>
  <c r="AZ132" i="1"/>
  <c r="AX67" i="1"/>
  <c r="AX53" i="1"/>
  <c r="AZ39" i="1"/>
  <c r="BB39" i="1"/>
  <c r="AL214" i="1"/>
  <c r="AZ72" i="1"/>
  <c r="AL194" i="1"/>
  <c r="AZ245" i="1"/>
  <c r="BA245" i="1"/>
  <c r="AZ157" i="1"/>
  <c r="BA157" i="1"/>
  <c r="AX105" i="1"/>
  <c r="AL268" i="1"/>
  <c r="BA131" i="1"/>
  <c r="AZ131" i="1"/>
  <c r="BB131" i="1"/>
  <c r="AX91" i="1"/>
  <c r="BJ13" i="1"/>
  <c r="BJ40" i="1"/>
  <c r="BJ80" i="1"/>
  <c r="BJ100" i="1"/>
  <c r="BJ160" i="1"/>
  <c r="BJ182" i="1"/>
  <c r="BJ203" i="1"/>
  <c r="BJ226" i="1"/>
  <c r="BJ246" i="1"/>
  <c r="BJ266" i="1"/>
  <c r="AZ181" i="1"/>
  <c r="AL84" i="1"/>
  <c r="AZ277" i="1"/>
  <c r="AL82" i="1"/>
  <c r="BA274" i="1"/>
  <c r="BB274" i="1"/>
  <c r="AL100" i="1"/>
  <c r="AL19" i="1"/>
  <c r="BA35" i="1"/>
  <c r="AZ35" i="1"/>
  <c r="BB35" i="1"/>
  <c r="AX15" i="1"/>
  <c r="AX121" i="1"/>
  <c r="BB43" i="1"/>
  <c r="AZ43" i="1"/>
  <c r="BA43" i="1"/>
  <c r="BJ86" i="1"/>
  <c r="BB100" i="1"/>
  <c r="AL224" i="1"/>
  <c r="AX252" i="1"/>
  <c r="AX80" i="1"/>
  <c r="AZ40" i="1"/>
  <c r="BA40" i="1"/>
  <c r="BA126" i="1"/>
  <c r="AL89" i="1"/>
  <c r="BB176" i="1"/>
  <c r="AZ176" i="1"/>
  <c r="AX90" i="1"/>
  <c r="BJ77" i="1"/>
  <c r="BJ97" i="1"/>
  <c r="BJ157" i="1"/>
  <c r="BJ179" i="1"/>
  <c r="BJ223" i="1"/>
  <c r="BJ243" i="1"/>
  <c r="BJ263" i="1"/>
  <c r="AL153" i="1"/>
  <c r="AL139" i="1"/>
  <c r="BJ103" i="1"/>
  <c r="BA140" i="1"/>
  <c r="BB140" i="1"/>
  <c r="BJ12" i="1"/>
  <c r="BJ119" i="1"/>
  <c r="BJ225" i="1"/>
  <c r="BJ265" i="1"/>
  <c r="BJ14" i="1"/>
  <c r="BJ41" i="1"/>
  <c r="BJ61" i="1"/>
  <c r="BJ121" i="1"/>
  <c r="BJ141" i="1"/>
  <c r="BJ161" i="1"/>
  <c r="BJ183" i="1"/>
  <c r="BJ227" i="1"/>
  <c r="BJ267" i="1"/>
  <c r="BJ15" i="1"/>
  <c r="BJ42" i="1"/>
  <c r="BJ62" i="1"/>
  <c r="BJ82" i="1"/>
  <c r="BJ102" i="1"/>
  <c r="BJ122" i="1"/>
  <c r="BJ248" i="1"/>
  <c r="BJ16" i="1"/>
  <c r="BJ63" i="1"/>
  <c r="BJ185" i="1"/>
  <c r="BJ209" i="1"/>
  <c r="BJ229" i="1"/>
  <c r="BJ269" i="1"/>
  <c r="AZ160" i="1"/>
  <c r="BB160" i="1"/>
  <c r="AX60" i="1"/>
  <c r="BB280" i="1"/>
  <c r="AZ280" i="1"/>
  <c r="BJ10" i="1"/>
  <c r="BJ46" i="1"/>
  <c r="BJ66" i="1"/>
  <c r="BJ126" i="1"/>
  <c r="BJ146" i="1"/>
  <c r="BJ168" i="1"/>
  <c r="BJ188" i="1"/>
  <c r="BJ232" i="1"/>
  <c r="BA234" i="1"/>
  <c r="AZ234" i="1"/>
  <c r="AX45" i="1"/>
  <c r="BJ85" i="1"/>
  <c r="BJ125" i="1"/>
  <c r="BJ145" i="1"/>
  <c r="BJ165" i="1"/>
  <c r="BJ187" i="1"/>
  <c r="AL11" i="1"/>
  <c r="AX179" i="1"/>
  <c r="BJ68" i="1"/>
  <c r="BJ108" i="1"/>
  <c r="BJ128" i="1"/>
  <c r="BJ148" i="1"/>
  <c r="BJ170" i="1"/>
  <c r="BJ190" i="1"/>
  <c r="BJ274" i="1"/>
  <c r="BA270" i="1"/>
  <c r="BJ48" i="1"/>
  <c r="BJ87" i="1"/>
  <c r="BJ107" i="1"/>
  <c r="BJ127" i="1"/>
  <c r="BJ169" i="1"/>
  <c r="BJ273" i="1"/>
  <c r="BA250" i="1"/>
  <c r="AL12" i="1"/>
  <c r="BJ17" i="1"/>
  <c r="BJ44" i="1"/>
  <c r="BJ104" i="1"/>
  <c r="BA230" i="1"/>
  <c r="AZ230" i="1"/>
  <c r="BB228" i="1" l="1"/>
  <c r="BA11" i="1"/>
  <c r="BB190" i="1"/>
  <c r="CE25" i="1"/>
  <c r="CE33" i="1"/>
  <c r="CE53" i="1"/>
  <c r="AZ228" i="1"/>
  <c r="AZ11" i="1"/>
  <c r="BA191" i="1"/>
  <c r="AZ191" i="1"/>
  <c r="CE241" i="1"/>
  <c r="CE156" i="1"/>
  <c r="CE201" i="1"/>
  <c r="CE36" i="1"/>
  <c r="CE275" i="1"/>
  <c r="CE213" i="1"/>
  <c r="CE11" i="1"/>
  <c r="CE153" i="1"/>
  <c r="CE152" i="1"/>
  <c r="CE118" i="1"/>
  <c r="CE191" i="1"/>
  <c r="AX61" i="1"/>
  <c r="BB61" i="1" s="1"/>
  <c r="CE234" i="1"/>
  <c r="CE243" i="1"/>
  <c r="CE231" i="1"/>
  <c r="CE195" i="1"/>
  <c r="CE79" i="1"/>
  <c r="CE140" i="1"/>
  <c r="CE217" i="1"/>
  <c r="AX56" i="1"/>
  <c r="BA56" i="1" s="1"/>
  <c r="CE18" i="1"/>
  <c r="CE96" i="1"/>
  <c r="CE276" i="1"/>
  <c r="CE150" i="1"/>
  <c r="CE76" i="1"/>
  <c r="CE30" i="1"/>
  <c r="CE178" i="1"/>
  <c r="CE196" i="1"/>
  <c r="CE277" i="1"/>
  <c r="CE280" i="1"/>
  <c r="CE216" i="1"/>
  <c r="CE262" i="1"/>
  <c r="CE164" i="1"/>
  <c r="AX111" i="1"/>
  <c r="AZ111" i="1" s="1"/>
  <c r="CE113" i="1"/>
  <c r="CE244" i="1"/>
  <c r="CE175" i="1"/>
  <c r="CE268" i="1"/>
  <c r="CE82" i="1"/>
  <c r="CE78" i="1"/>
  <c r="CE48" i="1"/>
  <c r="CE129" i="1"/>
  <c r="CE52" i="1"/>
  <c r="CE154" i="1"/>
  <c r="CE64" i="1"/>
  <c r="CE212" i="1"/>
  <c r="CE114" i="1"/>
  <c r="CE115" i="1"/>
  <c r="CE219" i="1"/>
  <c r="CE97" i="1"/>
  <c r="CE86" i="1"/>
  <c r="CE218" i="1"/>
  <c r="CE75" i="1"/>
  <c r="CE274" i="1"/>
  <c r="CE80" i="1"/>
  <c r="CE89" i="1"/>
  <c r="CE258" i="1"/>
  <c r="CE200" i="1"/>
  <c r="CE246" i="1"/>
  <c r="CE72" i="1"/>
  <c r="CE88" i="1"/>
  <c r="CE236" i="1"/>
  <c r="CE237" i="1"/>
  <c r="CE73" i="1"/>
  <c r="CE95" i="1"/>
  <c r="CE124" i="1"/>
  <c r="CE272" i="1"/>
  <c r="CE233" i="1"/>
  <c r="CE121" i="1"/>
  <c r="CE108" i="1"/>
  <c r="CE39" i="1"/>
  <c r="CE50" i="1"/>
  <c r="CE142" i="1"/>
  <c r="CD4" i="1"/>
  <c r="CE133" i="1"/>
  <c r="CE12" i="1"/>
  <c r="CE45" i="1"/>
  <c r="CE264" i="1"/>
  <c r="CE181" i="1"/>
  <c r="CE116" i="1"/>
  <c r="BB69" i="1"/>
  <c r="CE74" i="1"/>
  <c r="CE77" i="1"/>
  <c r="AZ69" i="1"/>
  <c r="CE194" i="1"/>
  <c r="CE165" i="1"/>
  <c r="CC69" i="1"/>
  <c r="CF69" i="1" s="1"/>
  <c r="CE100" i="1"/>
  <c r="CE139" i="1"/>
  <c r="CE214" i="1"/>
  <c r="CE265" i="1"/>
  <c r="CE14" i="1"/>
  <c r="CE192" i="1"/>
  <c r="CE183" i="1"/>
  <c r="CE215" i="1"/>
  <c r="CE46" i="1"/>
  <c r="CE209" i="1"/>
  <c r="CE55" i="1"/>
  <c r="CE136" i="1"/>
  <c r="CE168" i="1"/>
  <c r="CE15" i="1"/>
  <c r="CE37" i="1"/>
  <c r="CE147" i="1"/>
  <c r="CE259" i="1"/>
  <c r="CE193" i="1"/>
  <c r="CE250" i="1"/>
  <c r="CE211" i="1"/>
  <c r="CE123" i="1"/>
  <c r="CE180" i="1"/>
  <c r="CE146" i="1"/>
  <c r="CE93" i="1"/>
  <c r="CE260" i="1"/>
  <c r="CE59" i="1"/>
  <c r="CE13" i="1"/>
  <c r="CE84" i="1"/>
  <c r="CE109" i="1"/>
  <c r="CE157" i="1"/>
  <c r="CE161" i="1"/>
  <c r="CE187" i="1"/>
  <c r="CE169" i="1"/>
  <c r="CE21" i="1"/>
  <c r="CE179" i="1"/>
  <c r="CE222" i="1"/>
  <c r="CE112" i="1"/>
  <c r="CE138" i="1"/>
  <c r="CE135" i="1"/>
  <c r="CE253" i="1"/>
  <c r="CE16" i="1"/>
  <c r="CE229" i="1"/>
  <c r="CE62" i="1"/>
  <c r="CE127" i="1"/>
  <c r="CE220" i="1"/>
  <c r="CE163" i="1"/>
  <c r="CE34" i="1"/>
  <c r="CE173" i="1"/>
  <c r="BV198" i="1"/>
  <c r="BY198" i="1" s="1"/>
  <c r="CE224" i="1"/>
  <c r="CE160" i="1"/>
  <c r="CE144" i="1"/>
  <c r="CE230" i="1"/>
  <c r="CE41" i="1"/>
  <c r="CE67" i="1"/>
  <c r="CE155" i="1"/>
  <c r="CC228" i="1"/>
  <c r="CF228" i="1" s="1"/>
  <c r="CE81" i="1"/>
  <c r="CE256" i="1"/>
  <c r="CE148" i="1"/>
  <c r="CE145" i="1"/>
  <c r="CE104" i="1"/>
  <c r="CE238" i="1"/>
  <c r="CE174" i="1"/>
  <c r="CE228" i="1"/>
  <c r="CE189" i="1"/>
  <c r="CE247" i="1"/>
  <c r="CE69" i="1"/>
  <c r="CE278" i="1"/>
  <c r="CE271" i="1"/>
  <c r="CE221" i="1"/>
  <c r="CE101" i="1"/>
  <c r="CE279" i="1"/>
  <c r="CE197" i="1"/>
  <c r="CE186" i="1"/>
  <c r="CE167" i="1"/>
  <c r="CE44" i="1"/>
  <c r="CE254" i="1"/>
  <c r="CE28" i="1"/>
  <c r="CE239" i="1"/>
  <c r="CE137" i="1"/>
  <c r="CE226" i="1"/>
  <c r="CE38" i="1"/>
  <c r="CE172" i="1"/>
  <c r="CE251" i="1"/>
  <c r="CE70" i="1"/>
  <c r="CE71" i="1"/>
  <c r="CE261" i="1"/>
  <c r="CE49" i="1"/>
  <c r="CE17" i="1"/>
  <c r="CE273" i="1"/>
  <c r="CE10" i="1"/>
  <c r="CE43" i="1"/>
  <c r="CE83" i="1"/>
  <c r="CE149" i="1"/>
  <c r="CE60" i="1"/>
  <c r="CE63" i="1"/>
  <c r="CE47" i="1"/>
  <c r="CE266" i="1"/>
  <c r="CE171" i="1"/>
  <c r="CE107" i="1"/>
  <c r="CE85" i="1"/>
  <c r="CE199" i="1"/>
  <c r="CE9" i="1"/>
  <c r="CE170" i="1"/>
  <c r="CE90" i="1"/>
  <c r="CE91" i="1"/>
  <c r="CE252" i="1"/>
  <c r="CE105" i="1"/>
  <c r="CE206" i="1"/>
  <c r="CE42" i="1"/>
  <c r="CE125" i="1"/>
  <c r="CE24" i="1"/>
  <c r="CE99" i="1"/>
  <c r="CE117" i="1"/>
  <c r="CE162" i="1"/>
  <c r="CE190" i="1"/>
  <c r="CE188" i="1"/>
  <c r="CE102" i="1"/>
  <c r="CE249" i="1"/>
  <c r="CE35" i="1"/>
  <c r="CE182" i="1"/>
  <c r="CE65" i="1"/>
  <c r="CE87" i="1"/>
  <c r="CE58" i="1"/>
  <c r="CE176" i="1"/>
  <c r="CE235" i="1"/>
  <c r="CE248" i="1"/>
  <c r="CE110" i="1"/>
  <c r="CE232" i="1"/>
  <c r="CE210" i="1"/>
  <c r="CE177" i="1"/>
  <c r="CE54" i="1"/>
  <c r="CE57" i="1"/>
  <c r="CE106" i="1"/>
  <c r="CE51" i="1"/>
  <c r="CE128" i="1"/>
  <c r="CE131" i="1"/>
  <c r="CE8" i="1"/>
  <c r="CE257" i="1"/>
  <c r="CE120" i="1"/>
  <c r="CE185" i="1"/>
  <c r="CE98" i="1"/>
  <c r="CE20" i="1"/>
  <c r="CE119" i="1"/>
  <c r="CE269" i="1"/>
  <c r="CE202" i="1"/>
  <c r="CE242" i="1"/>
  <c r="CE143" i="1"/>
  <c r="CE240" i="1"/>
  <c r="CE66" i="1"/>
  <c r="CE126" i="1"/>
  <c r="CE130" i="1"/>
  <c r="CE92" i="1"/>
  <c r="CE134" i="1"/>
  <c r="CE223" i="1"/>
  <c r="CE263" i="1"/>
  <c r="CE122" i="1"/>
  <c r="CE40" i="1"/>
  <c r="CE132" i="1"/>
  <c r="CE184" i="1"/>
  <c r="CE208" i="1"/>
  <c r="CE225" i="1"/>
  <c r="CE270" i="1"/>
  <c r="CE103" i="1"/>
  <c r="CE227" i="1"/>
  <c r="CE151" i="1"/>
  <c r="AL205" i="1"/>
  <c r="CE205" i="1" s="1"/>
  <c r="CC206" i="1"/>
  <c r="CB198" i="1"/>
  <c r="AZ216" i="1"/>
  <c r="BA216" i="1"/>
  <c r="BB279" i="1"/>
  <c r="BA279" i="1"/>
  <c r="AZ190" i="1"/>
  <c r="CC279" i="1"/>
  <c r="CC216" i="1"/>
  <c r="CF216" i="1" s="1"/>
  <c r="BA158" i="1"/>
  <c r="CC158" i="1"/>
  <c r="AZ158" i="1"/>
  <c r="CF156" i="1"/>
  <c r="CF112" i="1"/>
  <c r="CF57" i="1"/>
  <c r="CF172" i="1"/>
  <c r="CF116" i="1"/>
  <c r="CF96" i="1"/>
  <c r="CF276" i="1"/>
  <c r="CF213" i="1"/>
  <c r="CF259" i="1"/>
  <c r="CF175" i="1"/>
  <c r="CF53" i="1"/>
  <c r="CF205" i="1"/>
  <c r="CF250" i="1"/>
  <c r="CF194" i="1"/>
  <c r="CF159" i="1"/>
  <c r="CF258" i="1"/>
  <c r="CF42" i="1"/>
  <c r="CF217" i="1"/>
  <c r="CF231" i="1"/>
  <c r="CF186" i="1"/>
  <c r="CF176" i="1"/>
  <c r="CF21" i="1"/>
  <c r="CF241" i="1"/>
  <c r="CF191" i="1"/>
  <c r="CF25" i="1"/>
  <c r="CF46" i="1"/>
  <c r="CF164" i="1"/>
  <c r="CF45" i="1"/>
  <c r="CF33" i="1"/>
  <c r="CF255" i="1"/>
  <c r="CF237" i="1"/>
  <c r="CF180" i="1"/>
  <c r="CF56" i="1"/>
  <c r="CF98" i="1"/>
  <c r="CF113" i="1"/>
  <c r="CF125" i="1"/>
  <c r="CF129" i="1"/>
  <c r="CF193" i="1"/>
  <c r="CF157" i="1"/>
  <c r="CF247" i="1"/>
  <c r="CF67" i="1"/>
  <c r="CF160" i="1"/>
  <c r="CF254" i="1"/>
  <c r="CF100" i="1"/>
  <c r="CF262" i="1"/>
  <c r="CF167" i="1"/>
  <c r="CF253" i="1"/>
  <c r="CF243" i="1"/>
  <c r="CF201" i="1"/>
  <c r="CF86" i="1"/>
  <c r="CF251" i="1"/>
  <c r="CF140" i="1"/>
  <c r="CF97" i="1"/>
  <c r="CF273" i="1"/>
  <c r="CF10" i="1"/>
  <c r="CF65" i="1"/>
  <c r="CF246" i="1"/>
  <c r="AP136" i="1"/>
  <c r="CF136" i="1"/>
  <c r="CF244" i="1"/>
  <c r="CF9" i="1"/>
  <c r="CF61" i="1"/>
  <c r="AN39" i="1"/>
  <c r="CF39" i="1"/>
  <c r="AP146" i="1"/>
  <c r="CF146" i="1"/>
  <c r="AN93" i="1"/>
  <c r="CF93" i="1"/>
  <c r="AO48" i="1"/>
  <c r="CF48" i="1"/>
  <c r="AO209" i="1"/>
  <c r="CF209" i="1"/>
  <c r="AN227" i="1"/>
  <c r="CF227" i="1"/>
  <c r="AO134" i="1"/>
  <c r="CF134" i="1"/>
  <c r="AN225" i="1"/>
  <c r="CF225" i="1"/>
  <c r="AP270" i="1"/>
  <c r="CF270" i="1"/>
  <c r="AP103" i="1"/>
  <c r="CF103" i="1"/>
  <c r="CF52" i="1"/>
  <c r="CF170" i="1"/>
  <c r="AP169" i="1"/>
  <c r="CF169" i="1"/>
  <c r="AO179" i="1"/>
  <c r="CF179" i="1"/>
  <c r="AO118" i="1"/>
  <c r="CF118" i="1"/>
  <c r="AP64" i="1"/>
  <c r="CF64" i="1"/>
  <c r="CF263" i="1"/>
  <c r="CF120" i="1"/>
  <c r="CF117" i="1"/>
  <c r="CF162" i="1"/>
  <c r="CF190" i="1"/>
  <c r="CF188" i="1"/>
  <c r="AN222" i="1"/>
  <c r="CF222" i="1"/>
  <c r="CF89" i="1"/>
  <c r="CF268" i="1"/>
  <c r="CF66" i="1"/>
  <c r="CF235" i="1"/>
  <c r="CF230" i="1"/>
  <c r="AP41" i="1"/>
  <c r="CF41" i="1"/>
  <c r="AO34" i="1"/>
  <c r="CF34" i="1"/>
  <c r="AO173" i="1"/>
  <c r="AO138" i="1"/>
  <c r="CF138" i="1"/>
  <c r="AP195" i="1"/>
  <c r="CF195" i="1"/>
  <c r="AP168" i="1"/>
  <c r="CF168" i="1"/>
  <c r="AN73" i="1"/>
  <c r="CF73" i="1"/>
  <c r="CF199" i="1"/>
  <c r="AO183" i="1"/>
  <c r="CF82" i="1"/>
  <c r="CF76" i="1"/>
  <c r="CF185" i="1"/>
  <c r="AN133" i="1"/>
  <c r="CF133" i="1"/>
  <c r="AN75" i="1"/>
  <c r="CF75" i="1"/>
  <c r="AO274" i="1"/>
  <c r="CF274" i="1"/>
  <c r="AO80" i="1"/>
  <c r="CF80" i="1"/>
  <c r="AO206" i="1"/>
  <c r="AP154" i="1"/>
  <c r="CF154" i="1"/>
  <c r="CF215" i="1"/>
  <c r="CF78" i="1"/>
  <c r="AP238" i="1"/>
  <c r="CF238" i="1"/>
  <c r="AN264" i="1"/>
  <c r="CF264" i="1"/>
  <c r="AP260" i="1"/>
  <c r="CF260" i="1"/>
  <c r="AN95" i="1"/>
  <c r="AO124" i="1"/>
  <c r="CF124" i="1"/>
  <c r="AP211" i="1"/>
  <c r="CF211" i="1"/>
  <c r="CF18" i="1"/>
  <c r="AP278" i="1"/>
  <c r="CF278" i="1"/>
  <c r="AO271" i="1"/>
  <c r="CF271" i="1"/>
  <c r="AN68" i="1"/>
  <c r="CF68" i="1"/>
  <c r="AO174" i="1"/>
  <c r="CF174" i="1"/>
  <c r="AO59" i="1"/>
  <c r="CF59" i="1"/>
  <c r="CF280" i="1"/>
  <c r="AN15" i="1"/>
  <c r="CF15" i="1"/>
  <c r="AN37" i="1"/>
  <c r="CF37" i="1"/>
  <c r="AN147" i="1"/>
  <c r="CF147" i="1"/>
  <c r="AN236" i="1"/>
  <c r="CF236" i="1"/>
  <c r="AN135" i="1"/>
  <c r="CF135" i="1"/>
  <c r="AO71" i="1"/>
  <c r="CF71" i="1"/>
  <c r="AN239" i="1"/>
  <c r="CF239" i="1"/>
  <c r="CF245" i="1"/>
  <c r="AP155" i="1"/>
  <c r="CF155" i="1"/>
  <c r="CF16" i="1"/>
  <c r="AP265" i="1"/>
  <c r="CF265" i="1"/>
  <c r="AN223" i="1"/>
  <c r="CF223" i="1"/>
  <c r="CF106" i="1"/>
  <c r="CF224" i="1"/>
  <c r="CF94" i="1"/>
  <c r="CF62" i="1"/>
  <c r="CF220" i="1"/>
  <c r="CF77" i="1"/>
  <c r="AN102" i="1"/>
  <c r="CF102" i="1"/>
  <c r="AN277" i="1"/>
  <c r="CF277" i="1"/>
  <c r="CF249" i="1"/>
  <c r="AO90" i="1"/>
  <c r="CF90" i="1"/>
  <c r="AN91" i="1"/>
  <c r="CF91" i="1"/>
  <c r="AN63" i="1"/>
  <c r="CF63" i="1"/>
  <c r="AP181" i="1"/>
  <c r="CF181" i="1"/>
  <c r="AP229" i="1"/>
  <c r="CF229" i="1"/>
  <c r="AP182" i="1"/>
  <c r="CF182" i="1"/>
  <c r="AN202" i="1"/>
  <c r="CF202" i="1"/>
  <c r="CF123" i="1"/>
  <c r="CF153" i="1"/>
  <c r="CF233" i="1"/>
  <c r="CF121" i="1"/>
  <c r="CF248" i="1"/>
  <c r="CF221" i="1"/>
  <c r="CF81" i="1"/>
  <c r="AN272" i="1"/>
  <c r="CF272" i="1"/>
  <c r="AN114" i="1"/>
  <c r="CF114" i="1"/>
  <c r="AP28" i="1"/>
  <c r="AN70" i="1"/>
  <c r="CF70" i="1"/>
  <c r="CF161" i="1"/>
  <c r="CF200" i="1"/>
  <c r="AP30" i="1"/>
  <c r="CF30" i="1"/>
  <c r="CF214" i="1"/>
  <c r="CF87" i="1"/>
  <c r="CF85" i="1"/>
  <c r="AO20" i="1"/>
  <c r="CF20" i="1"/>
  <c r="AO110" i="1"/>
  <c r="CF110" i="1"/>
  <c r="AN232" i="1"/>
  <c r="CF232" i="1"/>
  <c r="AO111" i="1"/>
  <c r="CF111" i="1"/>
  <c r="CF137" i="1"/>
  <c r="CF226" i="1"/>
  <c r="CF115" i="1"/>
  <c r="CF72" i="1"/>
  <c r="CF109" i="1"/>
  <c r="CF127" i="1"/>
  <c r="CF24" i="1"/>
  <c r="CF234" i="1"/>
  <c r="CF11" i="1"/>
  <c r="CF131" i="1"/>
  <c r="CF99" i="1"/>
  <c r="CF187" i="1"/>
  <c r="AP126" i="1"/>
  <c r="CF126" i="1"/>
  <c r="AP210" i="1"/>
  <c r="CF210" i="1"/>
  <c r="CF47" i="1"/>
  <c r="AN261" i="1"/>
  <c r="CF261" i="1"/>
  <c r="CF49" i="1"/>
  <c r="AO101" i="1"/>
  <c r="CF101" i="1"/>
  <c r="CF84" i="1"/>
  <c r="AP40" i="1"/>
  <c r="CF40" i="1"/>
  <c r="AN130" i="1"/>
  <c r="CF130" i="1"/>
  <c r="AP119" i="1"/>
  <c r="CF119" i="1"/>
  <c r="AO266" i="1"/>
  <c r="CF266" i="1"/>
  <c r="AN279" i="1"/>
  <c r="CF55" i="1"/>
  <c r="AP108" i="1"/>
  <c r="CF108" i="1"/>
  <c r="CF139" i="1"/>
  <c r="AN142" i="1"/>
  <c r="CF142" i="1"/>
  <c r="CF13" i="1"/>
  <c r="CF242" i="1"/>
  <c r="CF58" i="1"/>
  <c r="CF163" i="1"/>
  <c r="CF36" i="1"/>
  <c r="CF219" i="1"/>
  <c r="CF257" i="1"/>
  <c r="CF144" i="1"/>
  <c r="AP212" i="1"/>
  <c r="CF212" i="1"/>
  <c r="AO184" i="1"/>
  <c r="CF184" i="1"/>
  <c r="CF92" i="1"/>
  <c r="AN178" i="1"/>
  <c r="CF178" i="1"/>
  <c r="CF252" i="1"/>
  <c r="AP17" i="1"/>
  <c r="CF17" i="1"/>
  <c r="AO38" i="1"/>
  <c r="CF38" i="1"/>
  <c r="CF151" i="1"/>
  <c r="AP79" i="1"/>
  <c r="CF79" i="1"/>
  <c r="AP267" i="1"/>
  <c r="AP50" i="1"/>
  <c r="CF50" i="1"/>
  <c r="AO83" i="1"/>
  <c r="AO149" i="1"/>
  <c r="CF149" i="1"/>
  <c r="CF51" i="1"/>
  <c r="CF14" i="1"/>
  <c r="CF275" i="1"/>
  <c r="CF143" i="1"/>
  <c r="CF240" i="1"/>
  <c r="CF148" i="1"/>
  <c r="CF145" i="1"/>
  <c r="CF165" i="1"/>
  <c r="CF104" i="1"/>
  <c r="AO218" i="1"/>
  <c r="CF218" i="1"/>
  <c r="AN192" i="1"/>
  <c r="CF192" i="1"/>
  <c r="AO208" i="1"/>
  <c r="CF208" i="1"/>
  <c r="AO35" i="1"/>
  <c r="CF35" i="1"/>
  <c r="AO141" i="1"/>
  <c r="CF141" i="1"/>
  <c r="CF54" i="1"/>
  <c r="AN269" i="1"/>
  <c r="CF269" i="1"/>
  <c r="AN43" i="1"/>
  <c r="CF43" i="1"/>
  <c r="AN60" i="1"/>
  <c r="CF60" i="1"/>
  <c r="CF150" i="1"/>
  <c r="AO132" i="1"/>
  <c r="CF132" i="1"/>
  <c r="CF12" i="1"/>
  <c r="CF122" i="1"/>
  <c r="CF197" i="1"/>
  <c r="CF171" i="1"/>
  <c r="CF107" i="1"/>
  <c r="CF74" i="1"/>
  <c r="CF44" i="1"/>
  <c r="CF189" i="1"/>
  <c r="AP88" i="1"/>
  <c r="CF88" i="1"/>
  <c r="CF152" i="1"/>
  <c r="AO177" i="1"/>
  <c r="CF177" i="1"/>
  <c r="AN198" i="1"/>
  <c r="AO105" i="1"/>
  <c r="CF105" i="1"/>
  <c r="AP280" i="1"/>
  <c r="AO253" i="1"/>
  <c r="AN251" i="1"/>
  <c r="AN248" i="1"/>
  <c r="AP249" i="1"/>
  <c r="AN252" i="1"/>
  <c r="BB262" i="1"/>
  <c r="AZ178" i="1"/>
  <c r="AZ262" i="1"/>
  <c r="BB178" i="1"/>
  <c r="BA223" i="1"/>
  <c r="AZ223" i="1"/>
  <c r="AZ52" i="1"/>
  <c r="BA52" i="1"/>
  <c r="BL189" i="1"/>
  <c r="BL144" i="1"/>
  <c r="AP15" i="1"/>
  <c r="AO37" i="1"/>
  <c r="AP177" i="1"/>
  <c r="AN35" i="1"/>
  <c r="AO198" i="1"/>
  <c r="AP105" i="1"/>
  <c r="BM91" i="1"/>
  <c r="AP35" i="1"/>
  <c r="BN84" i="1"/>
  <c r="BN144" i="1"/>
  <c r="AO223" i="1"/>
  <c r="AO210" i="1"/>
  <c r="AO182" i="1"/>
  <c r="BL73" i="1"/>
  <c r="BM73" i="1"/>
  <c r="BL30" i="1"/>
  <c r="AN177" i="1"/>
  <c r="BM154" i="1"/>
  <c r="AO212" i="1"/>
  <c r="AN141" i="1"/>
  <c r="AN17" i="1"/>
  <c r="AP141" i="1"/>
  <c r="AO147" i="1"/>
  <c r="BN178" i="1"/>
  <c r="BN264" i="1"/>
  <c r="AP34" i="1"/>
  <c r="AP252" i="1"/>
  <c r="BM151" i="1"/>
  <c r="AP208" i="1"/>
  <c r="AO252" i="1"/>
  <c r="AO88" i="1"/>
  <c r="AN208" i="1"/>
  <c r="BL234" i="1"/>
  <c r="AP261" i="1"/>
  <c r="AN105" i="1"/>
  <c r="AP236" i="1"/>
  <c r="BM64" i="1"/>
  <c r="BN150" i="1"/>
  <c r="BN91" i="1"/>
  <c r="AO68" i="1"/>
  <c r="BL53" i="1"/>
  <c r="AN260" i="1"/>
  <c r="AP264" i="1"/>
  <c r="AO264" i="1"/>
  <c r="AN124" i="1"/>
  <c r="AO260" i="1"/>
  <c r="BN151" i="1"/>
  <c r="AP91" i="1"/>
  <c r="BN53" i="1"/>
  <c r="AN64" i="1"/>
  <c r="BN262" i="1"/>
  <c r="AO245" i="1"/>
  <c r="AO229" i="1"/>
  <c r="AN146" i="1"/>
  <c r="BM76" i="1"/>
  <c r="AP39" i="1"/>
  <c r="AN210" i="1"/>
  <c r="BL64" i="1"/>
  <c r="AN212" i="1"/>
  <c r="BM30" i="1"/>
  <c r="AP101" i="1"/>
  <c r="AO169" i="1"/>
  <c r="AN266" i="1"/>
  <c r="BM189" i="1"/>
  <c r="AN183" i="1"/>
  <c r="AN169" i="1"/>
  <c r="AP266" i="1"/>
  <c r="AO39" i="1"/>
  <c r="BL271" i="1"/>
  <c r="AO225" i="1"/>
  <c r="AP183" i="1"/>
  <c r="AN132" i="1"/>
  <c r="AP202" i="1"/>
  <c r="AP184" i="1"/>
  <c r="AO64" i="1"/>
  <c r="AN101" i="1"/>
  <c r="BM262" i="1"/>
  <c r="BN137" i="1"/>
  <c r="AO270" i="1"/>
  <c r="BL142" i="1"/>
  <c r="BM206" i="1"/>
  <c r="BN206" i="1"/>
  <c r="AN270" i="1"/>
  <c r="AO41" i="1"/>
  <c r="BL250" i="1"/>
  <c r="AO202" i="1"/>
  <c r="AP225" i="1"/>
  <c r="AN267" i="1"/>
  <c r="AN41" i="1"/>
  <c r="BN201" i="1"/>
  <c r="BN93" i="1"/>
  <c r="BN250" i="1"/>
  <c r="BN228" i="1"/>
  <c r="BM90" i="1"/>
  <c r="AN154" i="1"/>
  <c r="BN90" i="1"/>
  <c r="BL153" i="1"/>
  <c r="AP223" i="1"/>
  <c r="AO279" i="1"/>
  <c r="BN153" i="1"/>
  <c r="AO103" i="1"/>
  <c r="BM93" i="1"/>
  <c r="BM89" i="1"/>
  <c r="BL136" i="1"/>
  <c r="BM279" i="1"/>
  <c r="BM228" i="1"/>
  <c r="AN103" i="1"/>
  <c r="BM242" i="1"/>
  <c r="BM201" i="1"/>
  <c r="BL154" i="1"/>
  <c r="BN234" i="1"/>
  <c r="BN180" i="1"/>
  <c r="AX19" i="1"/>
  <c r="BA19" i="1" s="1"/>
  <c r="AP118" i="1"/>
  <c r="AO95" i="1"/>
  <c r="AP279" i="1"/>
  <c r="BM70" i="1"/>
  <c r="BL159" i="1"/>
  <c r="BM118" i="1"/>
  <c r="BN24" i="1"/>
  <c r="AN245" i="1"/>
  <c r="AP239" i="1"/>
  <c r="BL21" i="1"/>
  <c r="BM55" i="1"/>
  <c r="BM21" i="1"/>
  <c r="AZ233" i="1"/>
  <c r="AN265" i="1"/>
  <c r="BL242" i="1"/>
  <c r="BM162" i="1"/>
  <c r="BM137" i="1"/>
  <c r="AN90" i="1"/>
  <c r="BL231" i="1"/>
  <c r="BL9" i="1"/>
  <c r="AO236" i="1"/>
  <c r="AN249" i="1"/>
  <c r="BM231" i="1"/>
  <c r="BL270" i="1"/>
  <c r="AO267" i="1"/>
  <c r="AN119" i="1"/>
  <c r="BM270" i="1"/>
  <c r="BA233" i="1"/>
  <c r="AO249" i="1"/>
  <c r="AZ246" i="1"/>
  <c r="AO155" i="1"/>
  <c r="AP63" i="1"/>
  <c r="BM264" i="1"/>
  <c r="AO91" i="1"/>
  <c r="AP272" i="1"/>
  <c r="AO277" i="1"/>
  <c r="AP248" i="1"/>
  <c r="AP198" i="1"/>
  <c r="AO63" i="1"/>
  <c r="BL236" i="1"/>
  <c r="BL70" i="1"/>
  <c r="BL167" i="1"/>
  <c r="BM236" i="1"/>
  <c r="AO239" i="1"/>
  <c r="AP90" i="1"/>
  <c r="AO181" i="1"/>
  <c r="AN155" i="1"/>
  <c r="AP102" i="1"/>
  <c r="AN181" i="1"/>
  <c r="AP130" i="1"/>
  <c r="AO102" i="1"/>
  <c r="BN155" i="1"/>
  <c r="BL129" i="1"/>
  <c r="BN216" i="1"/>
  <c r="AP245" i="1"/>
  <c r="BL95" i="1"/>
  <c r="BL131" i="1"/>
  <c r="BM216" i="1"/>
  <c r="BM247" i="1"/>
  <c r="AP135" i="1"/>
  <c r="AN59" i="1"/>
  <c r="BN76" i="1"/>
  <c r="AP147" i="1"/>
  <c r="BL224" i="1"/>
  <c r="AO15" i="1"/>
  <c r="AP70" i="1"/>
  <c r="AP37" i="1"/>
  <c r="AN20" i="1"/>
  <c r="BL184" i="1"/>
  <c r="BN55" i="1"/>
  <c r="AP71" i="1"/>
  <c r="AN149" i="1"/>
  <c r="AO28" i="1"/>
  <c r="BM156" i="1"/>
  <c r="BM202" i="1"/>
  <c r="AP253" i="1"/>
  <c r="AN83" i="1"/>
  <c r="AP149" i="1"/>
  <c r="AN253" i="1"/>
  <c r="BN156" i="1"/>
  <c r="BL202" i="1"/>
  <c r="BN256" i="1"/>
  <c r="BL255" i="1"/>
  <c r="BM277" i="1"/>
  <c r="AN71" i="1"/>
  <c r="AO251" i="1"/>
  <c r="AP20" i="1"/>
  <c r="BN116" i="1"/>
  <c r="BL256" i="1"/>
  <c r="BN255" i="1"/>
  <c r="BN253" i="1"/>
  <c r="BL191" i="1"/>
  <c r="AP68" i="1"/>
  <c r="AN280" i="1"/>
  <c r="AN179" i="1"/>
  <c r="BL116" i="1"/>
  <c r="BL253" i="1"/>
  <c r="AN174" i="1"/>
  <c r="BN166" i="1"/>
  <c r="BM56" i="1"/>
  <c r="BM251" i="1"/>
  <c r="AP277" i="1"/>
  <c r="BM196" i="1"/>
  <c r="BL251" i="1"/>
  <c r="AP132" i="1"/>
  <c r="AO119" i="1"/>
  <c r="BL135" i="1"/>
  <c r="BM95" i="1"/>
  <c r="BM200" i="1"/>
  <c r="BM240" i="1"/>
  <c r="BM18" i="1"/>
  <c r="AO108" i="1"/>
  <c r="BL178" i="1"/>
  <c r="BN196" i="1"/>
  <c r="BN9" i="1"/>
  <c r="BL222" i="1"/>
  <c r="AN182" i="1"/>
  <c r="AN79" i="1"/>
  <c r="AN136" i="1"/>
  <c r="BM222" i="1"/>
  <c r="BM131" i="1"/>
  <c r="AO79" i="1"/>
  <c r="BM52" i="1"/>
  <c r="BM72" i="1"/>
  <c r="AP134" i="1"/>
  <c r="AN134" i="1"/>
  <c r="BL50" i="1"/>
  <c r="BN52" i="1"/>
  <c r="BN72" i="1"/>
  <c r="AN108" i="1"/>
  <c r="BN259" i="1"/>
  <c r="AP73" i="1"/>
  <c r="BM50" i="1"/>
  <c r="BL259" i="1"/>
  <c r="BM211" i="1"/>
  <c r="BL215" i="1"/>
  <c r="BM96" i="1"/>
  <c r="BM215" i="1"/>
  <c r="AO60" i="1"/>
  <c r="AO265" i="1"/>
  <c r="AP178" i="1"/>
  <c r="AN118" i="1"/>
  <c r="BL24" i="1"/>
  <c r="BM129" i="1"/>
  <c r="BL162" i="1"/>
  <c r="AO269" i="1"/>
  <c r="AO178" i="1"/>
  <c r="AP218" i="1"/>
  <c r="BL200" i="1"/>
  <c r="BL240" i="1"/>
  <c r="BM43" i="1"/>
  <c r="AP269" i="1"/>
  <c r="AO192" i="1"/>
  <c r="AO154" i="1"/>
  <c r="AO17" i="1"/>
  <c r="AP251" i="1"/>
  <c r="BN18" i="1"/>
  <c r="BL67" i="1"/>
  <c r="BL38" i="1"/>
  <c r="BN43" i="1"/>
  <c r="BL175" i="1"/>
  <c r="BL69" i="1"/>
  <c r="BN271" i="1"/>
  <c r="AP173" i="1"/>
  <c r="BL36" i="1"/>
  <c r="BM175" i="1"/>
  <c r="BM69" i="1"/>
  <c r="BM213" i="1"/>
  <c r="BN36" i="1"/>
  <c r="AN209" i="1"/>
  <c r="AO126" i="1"/>
  <c r="AN40" i="1"/>
  <c r="AO135" i="1"/>
  <c r="BL89" i="1"/>
  <c r="BL213" i="1"/>
  <c r="AN126" i="1"/>
  <c r="AP232" i="1"/>
  <c r="BL219" i="1"/>
  <c r="AO232" i="1"/>
  <c r="AO227" i="1"/>
  <c r="AN111" i="1"/>
  <c r="AN173" i="1"/>
  <c r="AO67" i="1"/>
  <c r="AN218" i="1"/>
  <c r="BN96" i="1"/>
  <c r="BM113" i="1"/>
  <c r="BN219" i="1"/>
  <c r="AP274" i="1"/>
  <c r="BN164" i="1"/>
  <c r="BN38" i="1"/>
  <c r="BL166" i="1"/>
  <c r="BM184" i="1"/>
  <c r="BL35" i="1"/>
  <c r="AP111" i="1"/>
  <c r="AN80" i="1"/>
  <c r="BL113" i="1"/>
  <c r="BM164" i="1"/>
  <c r="AO195" i="1"/>
  <c r="AN274" i="1"/>
  <c r="AP227" i="1"/>
  <c r="AP93" i="1"/>
  <c r="BM67" i="1"/>
  <c r="AO70" i="1"/>
  <c r="AN38" i="1"/>
  <c r="AO93" i="1"/>
  <c r="BM195" i="1"/>
  <c r="AO168" i="1"/>
  <c r="BL120" i="1"/>
  <c r="BN247" i="1"/>
  <c r="AP80" i="1"/>
  <c r="BM120" i="1"/>
  <c r="AO146" i="1"/>
  <c r="AP206" i="1"/>
  <c r="BN244" i="1"/>
  <c r="BL280" i="1"/>
  <c r="BM81" i="1"/>
  <c r="AN30" i="1"/>
  <c r="BM204" i="1"/>
  <c r="BL268" i="1"/>
  <c r="AN168" i="1"/>
  <c r="BN280" i="1"/>
  <c r="AP209" i="1"/>
  <c r="AP95" i="1"/>
  <c r="BM261" i="1"/>
  <c r="BN207" i="1"/>
  <c r="BL204" i="1"/>
  <c r="AN50" i="1"/>
  <c r="AP48" i="1"/>
  <c r="AP271" i="1"/>
  <c r="AP192" i="1"/>
  <c r="AO211" i="1"/>
  <c r="BA246" i="1"/>
  <c r="BN224" i="1"/>
  <c r="BM33" i="1"/>
  <c r="BN132" i="1"/>
  <c r="BL261" i="1"/>
  <c r="BL207" i="1"/>
  <c r="BL11" i="1"/>
  <c r="BN140" i="1"/>
  <c r="BM191" i="1"/>
  <c r="BN142" i="1"/>
  <c r="BM92" i="1"/>
  <c r="BN139" i="1"/>
  <c r="BL181" i="1"/>
  <c r="BL81" i="1"/>
  <c r="AN206" i="1"/>
  <c r="BM244" i="1"/>
  <c r="AN138" i="1"/>
  <c r="BL33" i="1"/>
  <c r="AN195" i="1"/>
  <c r="AP38" i="1"/>
  <c r="AO40" i="1"/>
  <c r="AN48" i="1"/>
  <c r="AZ37" i="1"/>
  <c r="AN271" i="1"/>
  <c r="AP83" i="1"/>
  <c r="AN211" i="1"/>
  <c r="AO50" i="1"/>
  <c r="BN173" i="1"/>
  <c r="BN275" i="1"/>
  <c r="BL249" i="1"/>
  <c r="BN11" i="1"/>
  <c r="BL140" i="1"/>
  <c r="BL59" i="1"/>
  <c r="BL92" i="1"/>
  <c r="BL139" i="1"/>
  <c r="BN159" i="1"/>
  <c r="AO30" i="1"/>
  <c r="AO238" i="1"/>
  <c r="AP75" i="1"/>
  <c r="AN278" i="1"/>
  <c r="AP59" i="1"/>
  <c r="BL28" i="1"/>
  <c r="BM111" i="1"/>
  <c r="BL173" i="1"/>
  <c r="BL275" i="1"/>
  <c r="BM249" i="1"/>
  <c r="BL214" i="1"/>
  <c r="BN59" i="1"/>
  <c r="BL132" i="1"/>
  <c r="AN88" i="1"/>
  <c r="AN184" i="1"/>
  <c r="AN238" i="1"/>
  <c r="AN110" i="1"/>
  <c r="AP124" i="1"/>
  <c r="BA247" i="1"/>
  <c r="AO75" i="1"/>
  <c r="BM28" i="1"/>
  <c r="BL111" i="1"/>
  <c r="AO280" i="1"/>
  <c r="BM210" i="1"/>
  <c r="BL78" i="1"/>
  <c r="BM214" i="1"/>
  <c r="BL99" i="1"/>
  <c r="BL152" i="1"/>
  <c r="BN112" i="1"/>
  <c r="BN195" i="1"/>
  <c r="BM39" i="1"/>
  <c r="BN268" i="1"/>
  <c r="AP110" i="1"/>
  <c r="BM135" i="1"/>
  <c r="BL150" i="1"/>
  <c r="BN233" i="1"/>
  <c r="BL279" i="1"/>
  <c r="BL210" i="1"/>
  <c r="BM78" i="1"/>
  <c r="BM112" i="1"/>
  <c r="BN99" i="1"/>
  <c r="BN118" i="1"/>
  <c r="AP138" i="1"/>
  <c r="AP43" i="1"/>
  <c r="AO43" i="1"/>
  <c r="AZ247" i="1"/>
  <c r="BL233" i="1"/>
  <c r="CC173" i="1"/>
  <c r="BX277" i="1"/>
  <c r="BY277" i="1"/>
  <c r="BZ277" i="1"/>
  <c r="CA277" i="1"/>
  <c r="BZ79" i="1"/>
  <c r="BX79" i="1"/>
  <c r="BY79" i="1"/>
  <c r="CA79" i="1"/>
  <c r="BL105" i="1"/>
  <c r="AO247" i="1"/>
  <c r="CA280" i="1"/>
  <c r="BX280" i="1"/>
  <c r="BY280" i="1"/>
  <c r="BZ280" i="1"/>
  <c r="CA244" i="1"/>
  <c r="BX244" i="1"/>
  <c r="BZ244" i="1"/>
  <c r="BY244" i="1"/>
  <c r="AN140" i="1"/>
  <c r="BX81" i="1"/>
  <c r="BZ81" i="1"/>
  <c r="BY81" i="1"/>
  <c r="CA81" i="1"/>
  <c r="AO193" i="1"/>
  <c r="AN81" i="1"/>
  <c r="AP67" i="1"/>
  <c r="AN237" i="1"/>
  <c r="BL25" i="1"/>
  <c r="AN254" i="1"/>
  <c r="BL124" i="1"/>
  <c r="BM106" i="1"/>
  <c r="BL211" i="1"/>
  <c r="AP180" i="1"/>
  <c r="BN138" i="1"/>
  <c r="AO21" i="1"/>
  <c r="BX109" i="1"/>
  <c r="BZ109" i="1"/>
  <c r="BY109" i="1"/>
  <c r="CA109" i="1"/>
  <c r="AN67" i="1"/>
  <c r="AP61" i="1"/>
  <c r="BN124" i="1"/>
  <c r="BL106" i="1"/>
  <c r="BL138" i="1"/>
  <c r="AN86" i="1"/>
  <c r="AN180" i="1"/>
  <c r="CA93" i="1"/>
  <c r="BZ93" i="1"/>
  <c r="BX93" i="1"/>
  <c r="BY93" i="1"/>
  <c r="AN226" i="1"/>
  <c r="AN193" i="1"/>
  <c r="AP228" i="1"/>
  <c r="AO81" i="1"/>
  <c r="AO136" i="1"/>
  <c r="BX75" i="1"/>
  <c r="CA75" i="1"/>
  <c r="BY75" i="1"/>
  <c r="BZ75" i="1"/>
  <c r="AP221" i="1"/>
  <c r="AO77" i="1"/>
  <c r="CC83" i="1"/>
  <c r="AO226" i="1"/>
  <c r="AP137" i="1"/>
  <c r="AO250" i="1"/>
  <c r="BL123" i="1"/>
  <c r="AP81" i="1"/>
  <c r="AN121" i="1"/>
  <c r="AN16" i="1"/>
  <c r="AO137" i="1"/>
  <c r="AO222" i="1"/>
  <c r="AO230" i="1"/>
  <c r="BM241" i="1"/>
  <c r="BM123" i="1"/>
  <c r="AP114" i="1"/>
  <c r="AP226" i="1"/>
  <c r="BX132" i="1"/>
  <c r="BY132" i="1"/>
  <c r="BZ132" i="1"/>
  <c r="CA132" i="1"/>
  <c r="AP230" i="1"/>
  <c r="AN221" i="1"/>
  <c r="AN228" i="1"/>
  <c r="BZ242" i="1"/>
  <c r="CA242" i="1"/>
  <c r="BY242" i="1"/>
  <c r="BX242" i="1"/>
  <c r="BL221" i="1"/>
  <c r="BL241" i="1"/>
  <c r="BN79" i="1"/>
  <c r="BL98" i="1"/>
  <c r="CC28" i="1"/>
  <c r="CA211" i="1"/>
  <c r="BY211" i="1"/>
  <c r="BZ211" i="1"/>
  <c r="BX211" i="1"/>
  <c r="AP193" i="1"/>
  <c r="BM221" i="1"/>
  <c r="BL79" i="1"/>
  <c r="BN117" i="1"/>
  <c r="BM98" i="1"/>
  <c r="BM75" i="1"/>
  <c r="AN21" i="1"/>
  <c r="BY262" i="1"/>
  <c r="BX262" i="1"/>
  <c r="BZ262" i="1"/>
  <c r="CA262" i="1"/>
  <c r="AP254" i="1"/>
  <c r="BZ199" i="1"/>
  <c r="BY199" i="1"/>
  <c r="BX199" i="1"/>
  <c r="CA199" i="1"/>
  <c r="AO13" i="1"/>
  <c r="AO16" i="1"/>
  <c r="AO69" i="1"/>
  <c r="AO221" i="1"/>
  <c r="AO112" i="1"/>
  <c r="BL199" i="1"/>
  <c r="BL117" i="1"/>
  <c r="BL75" i="1"/>
  <c r="CC183" i="1"/>
  <c r="AO237" i="1"/>
  <c r="AP69" i="1"/>
  <c r="AP222" i="1"/>
  <c r="AN112" i="1"/>
  <c r="AN34" i="1"/>
  <c r="AN61" i="1"/>
  <c r="BN199" i="1"/>
  <c r="AO92" i="1"/>
  <c r="AP104" i="1"/>
  <c r="AN92" i="1"/>
  <c r="CA131" i="1"/>
  <c r="BX131" i="1"/>
  <c r="BY131" i="1"/>
  <c r="BZ131" i="1"/>
  <c r="AN123" i="1"/>
  <c r="AN230" i="1"/>
  <c r="AP152" i="1"/>
  <c r="AP247" i="1"/>
  <c r="AP112" i="1"/>
  <c r="BL239" i="1"/>
  <c r="BL130" i="1"/>
  <c r="AO152" i="1"/>
  <c r="BN60" i="1"/>
  <c r="AN13" i="1"/>
  <c r="AO189" i="1"/>
  <c r="CC95" i="1"/>
  <c r="AL203" i="1"/>
  <c r="CC203" i="1"/>
  <c r="AP237" i="1"/>
  <c r="BN25" i="1"/>
  <c r="AP13" i="1"/>
  <c r="AN69" i="1"/>
  <c r="AP16" i="1"/>
  <c r="BZ30" i="1"/>
  <c r="CA30" i="1"/>
  <c r="BX30" i="1"/>
  <c r="BY30" i="1"/>
  <c r="AN152" i="1"/>
  <c r="AP123" i="1"/>
  <c r="AP46" i="1"/>
  <c r="AL166" i="1"/>
  <c r="CC166" i="1"/>
  <c r="AO142" i="1"/>
  <c r="BN177" i="1"/>
  <c r="BN239" i="1"/>
  <c r="BM130" i="1"/>
  <c r="BL60" i="1"/>
  <c r="CB19" i="1"/>
  <c r="BZ196" i="1"/>
  <c r="CA196" i="1"/>
  <c r="BX196" i="1"/>
  <c r="BY196" i="1"/>
  <c r="AP92" i="1"/>
  <c r="AP250" i="1"/>
  <c r="AN46" i="1"/>
  <c r="BL177" i="1"/>
  <c r="BM105" i="1"/>
  <c r="CA69" i="1"/>
  <c r="BZ69" i="1"/>
  <c r="BX69" i="1"/>
  <c r="BY69" i="1"/>
  <c r="BX268" i="1"/>
  <c r="BZ268" i="1"/>
  <c r="BY268" i="1"/>
  <c r="CA268" i="1"/>
  <c r="AO123" i="1"/>
  <c r="AP179" i="1"/>
  <c r="CA240" i="1"/>
  <c r="BZ240" i="1"/>
  <c r="BX240" i="1"/>
  <c r="BY240" i="1"/>
  <c r="AP172" i="1"/>
  <c r="BZ239" i="1"/>
  <c r="BX239" i="1"/>
  <c r="CA239" i="1"/>
  <c r="BY239" i="1"/>
  <c r="AO61" i="1"/>
  <c r="CA25" i="1"/>
  <c r="BX25" i="1"/>
  <c r="BY25" i="1"/>
  <c r="BZ25" i="1"/>
  <c r="AO133" i="1"/>
  <c r="AO228" i="1"/>
  <c r="AN47" i="1"/>
  <c r="BM136" i="1"/>
  <c r="AO248" i="1"/>
  <c r="BL133" i="1"/>
  <c r="AO130" i="1"/>
  <c r="BM152" i="1"/>
  <c r="AO261" i="1"/>
  <c r="AP47" i="1"/>
  <c r="AN49" i="1"/>
  <c r="BN205" i="1"/>
  <c r="BN133" i="1"/>
  <c r="AN170" i="1"/>
  <c r="CC128" i="1"/>
  <c r="AO140" i="1"/>
  <c r="AP140" i="1"/>
  <c r="AO254" i="1"/>
  <c r="AN137" i="1"/>
  <c r="CA91" i="1"/>
  <c r="BY91" i="1"/>
  <c r="BZ91" i="1"/>
  <c r="BX91" i="1"/>
  <c r="AN250" i="1"/>
  <c r="BA37" i="1"/>
  <c r="BY224" i="1"/>
  <c r="BX224" i="1"/>
  <c r="BZ224" i="1"/>
  <c r="CA224" i="1"/>
  <c r="BZ279" i="1"/>
  <c r="BY279" i="1"/>
  <c r="CA279" i="1"/>
  <c r="BX279" i="1"/>
  <c r="AP133" i="1"/>
  <c r="AO47" i="1"/>
  <c r="AO49" i="1"/>
  <c r="AO278" i="1"/>
  <c r="AN28" i="1"/>
  <c r="AP142" i="1"/>
  <c r="BJ158" i="1"/>
  <c r="CB158" i="1"/>
  <c r="BM205" i="1"/>
  <c r="BL155" i="1"/>
  <c r="BM167" i="1"/>
  <c r="BL39" i="1"/>
  <c r="AO272" i="1"/>
  <c r="AO73" i="1"/>
  <c r="BN277" i="1"/>
  <c r="BL84" i="1"/>
  <c r="BL180" i="1"/>
  <c r="BN56" i="1"/>
  <c r="BM181" i="1"/>
  <c r="BN35" i="1"/>
  <c r="AN190" i="1"/>
  <c r="AO188" i="1"/>
  <c r="CC256" i="1"/>
  <c r="AO46" i="1"/>
  <c r="AO180" i="1"/>
  <c r="CA76" i="1"/>
  <c r="BX76" i="1"/>
  <c r="BY76" i="1"/>
  <c r="BZ76" i="1"/>
  <c r="AP49" i="1"/>
  <c r="AP60" i="1"/>
  <c r="AN229" i="1"/>
  <c r="AP21" i="1"/>
  <c r="AP174" i="1"/>
  <c r="AP235" i="1"/>
  <c r="BX85" i="1"/>
  <c r="CA85" i="1"/>
  <c r="BZ85" i="1"/>
  <c r="BY85" i="1"/>
  <c r="CC196" i="1"/>
  <c r="AN247" i="1"/>
  <c r="AW6" i="1"/>
  <c r="AO114" i="1"/>
  <c r="BA117" i="1"/>
  <c r="BB117" i="1"/>
  <c r="BA124" i="1"/>
  <c r="BB155" i="1"/>
  <c r="AP86" i="1"/>
  <c r="BB124" i="1"/>
  <c r="AX267" i="1"/>
  <c r="AZ267" i="1" s="1"/>
  <c r="BA218" i="1"/>
  <c r="AZ155" i="1"/>
  <c r="AN188" i="1"/>
  <c r="BA180" i="1"/>
  <c r="AZ180" i="1"/>
  <c r="BA12" i="1"/>
  <c r="AO86" i="1"/>
  <c r="AZ12" i="1"/>
  <c r="AO190" i="1"/>
  <c r="AZ164" i="1"/>
  <c r="AZ218" i="1"/>
  <c r="AZ17" i="1"/>
  <c r="AZ219" i="1"/>
  <c r="BA86" i="1"/>
  <c r="BB17" i="1"/>
  <c r="BA219" i="1"/>
  <c r="AN77" i="1"/>
  <c r="AP72" i="1"/>
  <c r="AP77" i="1"/>
  <c r="AZ86" i="1"/>
  <c r="BB207" i="1"/>
  <c r="AZ59" i="1"/>
  <c r="AO72" i="1"/>
  <c r="AN72" i="1"/>
  <c r="AZ102" i="1"/>
  <c r="BB164" i="1"/>
  <c r="AP188" i="1"/>
  <c r="BA101" i="1"/>
  <c r="AO233" i="1"/>
  <c r="BB101" i="1"/>
  <c r="AZ104" i="1"/>
  <c r="BB123" i="1"/>
  <c r="BA104" i="1"/>
  <c r="BA123" i="1"/>
  <c r="AP233" i="1"/>
  <c r="BA59" i="1"/>
  <c r="AN172" i="1"/>
  <c r="BB224" i="1"/>
  <c r="AZ224" i="1"/>
  <c r="BB163" i="1"/>
  <c r="AZ161" i="1"/>
  <c r="AO235" i="1"/>
  <c r="AN104" i="1"/>
  <c r="BA196" i="1"/>
  <c r="BB14" i="1"/>
  <c r="BB108" i="1"/>
  <c r="BA64" i="1"/>
  <c r="AZ196" i="1"/>
  <c r="AZ14" i="1"/>
  <c r="AZ64" i="1"/>
  <c r="AP190" i="1"/>
  <c r="AO104" i="1"/>
  <c r="BB64" i="1"/>
  <c r="AO172" i="1"/>
  <c r="AZ163" i="1"/>
  <c r="BB65" i="1"/>
  <c r="BA65" i="1"/>
  <c r="AZ199" i="1"/>
  <c r="BA199" i="1"/>
  <c r="BA207" i="1"/>
  <c r="BB122" i="1"/>
  <c r="BA122" i="1"/>
  <c r="AO121" i="1"/>
  <c r="AP121" i="1"/>
  <c r="AN233" i="1"/>
  <c r="BB166" i="1"/>
  <c r="BA166" i="1"/>
  <c r="AN189" i="1"/>
  <c r="AP189" i="1"/>
  <c r="AZ113" i="1"/>
  <c r="BB115" i="1"/>
  <c r="AZ103" i="1"/>
  <c r="AZ71" i="1"/>
  <c r="BB71" i="1"/>
  <c r="AZ25" i="1"/>
  <c r="BA49" i="1"/>
  <c r="BB113" i="1"/>
  <c r="BB103" i="1"/>
  <c r="AP170" i="1"/>
  <c r="AO170" i="1"/>
  <c r="AN235" i="1"/>
  <c r="BB183" i="1"/>
  <c r="AZ183" i="1"/>
  <c r="BB25" i="1"/>
  <c r="BB102" i="1"/>
  <c r="BB114" i="1"/>
  <c r="BB161" i="1"/>
  <c r="BB49" i="1"/>
  <c r="BB58" i="1"/>
  <c r="BA167" i="1"/>
  <c r="BA58" i="1"/>
  <c r="BB167" i="1"/>
  <c r="BA108" i="1"/>
  <c r="BA114" i="1"/>
  <c r="AZ115" i="1"/>
  <c r="BM179" i="1"/>
  <c r="BN179" i="1"/>
  <c r="BL179" i="1"/>
  <c r="BN143" i="1"/>
  <c r="BL143" i="1"/>
  <c r="BM143" i="1"/>
  <c r="AO87" i="1"/>
  <c r="AP257" i="1"/>
  <c r="BL163" i="1"/>
  <c r="BN163" i="1"/>
  <c r="BM163" i="1"/>
  <c r="BN190" i="1"/>
  <c r="BM190" i="1"/>
  <c r="BL190" i="1"/>
  <c r="BL46" i="1"/>
  <c r="BM46" i="1"/>
  <c r="BN46" i="1"/>
  <c r="BN269" i="1"/>
  <c r="BM269" i="1"/>
  <c r="BL269" i="1"/>
  <c r="BN82" i="1"/>
  <c r="BM82" i="1"/>
  <c r="BL82" i="1"/>
  <c r="BN61" i="1"/>
  <c r="BM61" i="1"/>
  <c r="BL61" i="1"/>
  <c r="BN203" i="1"/>
  <c r="BL203" i="1"/>
  <c r="BM203" i="1"/>
  <c r="BL47" i="1"/>
  <c r="BM47" i="1"/>
  <c r="BN47" i="1"/>
  <c r="BM134" i="1"/>
  <c r="BN134" i="1"/>
  <c r="BL134" i="1"/>
  <c r="AP97" i="1"/>
  <c r="AO241" i="1"/>
  <c r="BN149" i="1"/>
  <c r="BM149" i="1"/>
  <c r="BL149" i="1"/>
  <c r="AO9" i="1"/>
  <c r="BL87" i="1"/>
  <c r="BN87" i="1"/>
  <c r="BM87" i="1"/>
  <c r="BM19" i="1"/>
  <c r="BL19" i="1"/>
  <c r="BN19" i="1"/>
  <c r="BN41" i="1"/>
  <c r="BL41" i="1"/>
  <c r="BM41" i="1"/>
  <c r="BM157" i="1"/>
  <c r="BL157" i="1"/>
  <c r="BN157" i="1"/>
  <c r="BN182" i="1"/>
  <c r="BL182" i="1"/>
  <c r="BM182" i="1"/>
  <c r="BM198" i="1"/>
  <c r="BN198" i="1"/>
  <c r="BL198" i="1"/>
  <c r="AN213" i="1"/>
  <c r="AP185" i="1"/>
  <c r="AN117" i="1"/>
  <c r="BN103" i="1"/>
  <c r="BL103" i="1"/>
  <c r="BM103" i="1"/>
  <c r="BM97" i="1"/>
  <c r="BL97" i="1"/>
  <c r="BN97" i="1"/>
  <c r="AP243" i="1"/>
  <c r="BN94" i="1"/>
  <c r="BM94" i="1"/>
  <c r="BL94" i="1"/>
  <c r="BN49" i="1"/>
  <c r="BM49" i="1"/>
  <c r="BL49" i="1"/>
  <c r="AP162" i="1"/>
  <c r="BM8" i="1"/>
  <c r="BN8" i="1"/>
  <c r="BL8" i="1"/>
  <c r="BM217" i="1"/>
  <c r="BL217" i="1"/>
  <c r="BN217" i="1"/>
  <c r="AP160" i="1"/>
  <c r="BN101" i="1"/>
  <c r="BM101" i="1"/>
  <c r="BL101" i="1"/>
  <c r="AO98" i="1"/>
  <c r="BN192" i="1"/>
  <c r="BM192" i="1"/>
  <c r="BL192" i="1"/>
  <c r="BM48" i="1"/>
  <c r="BL48" i="1"/>
  <c r="BN48" i="1"/>
  <c r="BL145" i="1"/>
  <c r="BM145" i="1"/>
  <c r="BN145" i="1"/>
  <c r="BL267" i="1"/>
  <c r="BM267" i="1"/>
  <c r="BN267" i="1"/>
  <c r="BL265" i="1"/>
  <c r="BN265" i="1"/>
  <c r="BM265" i="1"/>
  <c r="BM37" i="1"/>
  <c r="BL37" i="1"/>
  <c r="BN37" i="1"/>
  <c r="BM54" i="1"/>
  <c r="BN54" i="1"/>
  <c r="BL54" i="1"/>
  <c r="BM193" i="1"/>
  <c r="BN193" i="1"/>
  <c r="BL193" i="1"/>
  <c r="BN172" i="1"/>
  <c r="BM172" i="1"/>
  <c r="BL172" i="1"/>
  <c r="AO200" i="1"/>
  <c r="BN170" i="1"/>
  <c r="BM170" i="1"/>
  <c r="BL170" i="1"/>
  <c r="BM160" i="1"/>
  <c r="BN160" i="1"/>
  <c r="BL160" i="1"/>
  <c r="BN10" i="1"/>
  <c r="BL10" i="1"/>
  <c r="BM10" i="1"/>
  <c r="BM17" i="1"/>
  <c r="BL17" i="1"/>
  <c r="BN17" i="1"/>
  <c r="BL165" i="1"/>
  <c r="BM165" i="1"/>
  <c r="BN165" i="1"/>
  <c r="BL185" i="1"/>
  <c r="BN185" i="1"/>
  <c r="BM185" i="1"/>
  <c r="BN15" i="1"/>
  <c r="BL15" i="1"/>
  <c r="BM15" i="1"/>
  <c r="BM57" i="1"/>
  <c r="BL57" i="1"/>
  <c r="BN57" i="1"/>
  <c r="BM74" i="1"/>
  <c r="BN74" i="1"/>
  <c r="BL74" i="1"/>
  <c r="BL128" i="1"/>
  <c r="BM128" i="1"/>
  <c r="BN128" i="1"/>
  <c r="BN232" i="1"/>
  <c r="BL232" i="1"/>
  <c r="BM232" i="1"/>
  <c r="BN63" i="1"/>
  <c r="BL63" i="1"/>
  <c r="BM63" i="1"/>
  <c r="BM80" i="1"/>
  <c r="BN80" i="1"/>
  <c r="BL80" i="1"/>
  <c r="BM254" i="1"/>
  <c r="BN254" i="1"/>
  <c r="BL254" i="1"/>
  <c r="AO201" i="1"/>
  <c r="BN230" i="1"/>
  <c r="BL230" i="1"/>
  <c r="BM230" i="1"/>
  <c r="AN246" i="1"/>
  <c r="BM114" i="1"/>
  <c r="BL114" i="1"/>
  <c r="BN114" i="1"/>
  <c r="BN42" i="1"/>
  <c r="BL42" i="1"/>
  <c r="BM42" i="1"/>
  <c r="BN108" i="1"/>
  <c r="BM108" i="1"/>
  <c r="BL108" i="1"/>
  <c r="BM278" i="1"/>
  <c r="BN278" i="1"/>
  <c r="BL278" i="1"/>
  <c r="BL227" i="1"/>
  <c r="BM227" i="1"/>
  <c r="BN227" i="1"/>
  <c r="BM40" i="1"/>
  <c r="BN40" i="1"/>
  <c r="BL40" i="1"/>
  <c r="BN171" i="1"/>
  <c r="BL171" i="1"/>
  <c r="BM171" i="1"/>
  <c r="BM34" i="1"/>
  <c r="BL34" i="1"/>
  <c r="BN34" i="1"/>
  <c r="BM174" i="1"/>
  <c r="BL174" i="1"/>
  <c r="BN174" i="1"/>
  <c r="BN71" i="1"/>
  <c r="BL71" i="1"/>
  <c r="BM71" i="1"/>
  <c r="BN110" i="1"/>
  <c r="BM110" i="1"/>
  <c r="BL110" i="1"/>
  <c r="AP259" i="1"/>
  <c r="AP187" i="1"/>
  <c r="BN62" i="1"/>
  <c r="BM62" i="1"/>
  <c r="BL62" i="1"/>
  <c r="BM100" i="1"/>
  <c r="BL100" i="1"/>
  <c r="BN100" i="1"/>
  <c r="BL125" i="1"/>
  <c r="BN125" i="1"/>
  <c r="BM125" i="1"/>
  <c r="BL188" i="1"/>
  <c r="BN188" i="1"/>
  <c r="BM188" i="1"/>
  <c r="BN16" i="1"/>
  <c r="BL16" i="1"/>
  <c r="BM16" i="1"/>
  <c r="BL225" i="1"/>
  <c r="BM225" i="1"/>
  <c r="BN225" i="1"/>
  <c r="BM68" i="1"/>
  <c r="BN68" i="1"/>
  <c r="BL68" i="1"/>
  <c r="BL258" i="1"/>
  <c r="BM258" i="1"/>
  <c r="BN258" i="1"/>
  <c r="BN51" i="1"/>
  <c r="BL51" i="1"/>
  <c r="BM51" i="1"/>
  <c r="AN66" i="1"/>
  <c r="BN104" i="1"/>
  <c r="BL104" i="1"/>
  <c r="BM104" i="1"/>
  <c r="BM197" i="1"/>
  <c r="BL197" i="1"/>
  <c r="BN197" i="1"/>
  <c r="BL187" i="1"/>
  <c r="BN187" i="1"/>
  <c r="BM187" i="1"/>
  <c r="BM237" i="1"/>
  <c r="BL237" i="1"/>
  <c r="BN237" i="1"/>
  <c r="AP150" i="1"/>
  <c r="BL85" i="1"/>
  <c r="BM85" i="1"/>
  <c r="BN85" i="1"/>
  <c r="BM168" i="1"/>
  <c r="BL168" i="1"/>
  <c r="BN168" i="1"/>
  <c r="BN183" i="1"/>
  <c r="BL183" i="1"/>
  <c r="BM183" i="1"/>
  <c r="BM119" i="1"/>
  <c r="BL119" i="1"/>
  <c r="BN119" i="1"/>
  <c r="BL263" i="1"/>
  <c r="BN263" i="1"/>
  <c r="BM263" i="1"/>
  <c r="BL86" i="1"/>
  <c r="BN86" i="1"/>
  <c r="BM86" i="1"/>
  <c r="BN13" i="1"/>
  <c r="BL13" i="1"/>
  <c r="BM13" i="1"/>
  <c r="BN109" i="1"/>
  <c r="BM109" i="1"/>
  <c r="BL109" i="1"/>
  <c r="BM58" i="1"/>
  <c r="BN58" i="1"/>
  <c r="BL58" i="1"/>
  <c r="AN167" i="1"/>
  <c r="AO96" i="1"/>
  <c r="AO163" i="1"/>
  <c r="BN273" i="1"/>
  <c r="BM273" i="1"/>
  <c r="BL273" i="1"/>
  <c r="BM248" i="1"/>
  <c r="BN248" i="1"/>
  <c r="BL248" i="1"/>
  <c r="BN83" i="1"/>
  <c r="BL83" i="1"/>
  <c r="BM83" i="1"/>
  <c r="BN252" i="1"/>
  <c r="BL252" i="1"/>
  <c r="BM252" i="1"/>
  <c r="BM238" i="1"/>
  <c r="BN238" i="1"/>
  <c r="BL238" i="1"/>
  <c r="BM208" i="1"/>
  <c r="BL208" i="1"/>
  <c r="BN208" i="1"/>
  <c r="AO176" i="1"/>
  <c r="BL115" i="1"/>
  <c r="BM115" i="1"/>
  <c r="BN115" i="1"/>
  <c r="AP148" i="1"/>
  <c r="BN212" i="1"/>
  <c r="BL212" i="1"/>
  <c r="BM212" i="1"/>
  <c r="BM44" i="1"/>
  <c r="BL44" i="1"/>
  <c r="BN44" i="1"/>
  <c r="BL107" i="1"/>
  <c r="BN107" i="1"/>
  <c r="BM107" i="1"/>
  <c r="BM20" i="1"/>
  <c r="BL20" i="1"/>
  <c r="BN20" i="1"/>
  <c r="BL146" i="1"/>
  <c r="BN146" i="1"/>
  <c r="BM146" i="1"/>
  <c r="BN12" i="1"/>
  <c r="BL12" i="1"/>
  <c r="BM12" i="1"/>
  <c r="BN272" i="1"/>
  <c r="BM272" i="1"/>
  <c r="BL272" i="1"/>
  <c r="BM220" i="1"/>
  <c r="BN220" i="1"/>
  <c r="BL220" i="1"/>
  <c r="BM218" i="1"/>
  <c r="BL218" i="1"/>
  <c r="BN218" i="1"/>
  <c r="BL88" i="1"/>
  <c r="BM88" i="1"/>
  <c r="BN88" i="1"/>
  <c r="AP144" i="1"/>
  <c r="BL276" i="1"/>
  <c r="BM276" i="1"/>
  <c r="BN276" i="1"/>
  <c r="BM266" i="1"/>
  <c r="BN266" i="1"/>
  <c r="BL266" i="1"/>
  <c r="BL45" i="1"/>
  <c r="BM45" i="1"/>
  <c r="BN45" i="1"/>
  <c r="BL246" i="1"/>
  <c r="BN246" i="1"/>
  <c r="BM246" i="1"/>
  <c r="BN122" i="1"/>
  <c r="BL122" i="1"/>
  <c r="BM122" i="1"/>
  <c r="AO165" i="1"/>
  <c r="BN229" i="1"/>
  <c r="BM229" i="1"/>
  <c r="BL229" i="1"/>
  <c r="BM257" i="1"/>
  <c r="BL257" i="1"/>
  <c r="BN257" i="1"/>
  <c r="BN14" i="1"/>
  <c r="BM14" i="1"/>
  <c r="BL14" i="1"/>
  <c r="BN148" i="1"/>
  <c r="BM148" i="1"/>
  <c r="BL148" i="1"/>
  <c r="BM77" i="1"/>
  <c r="BL77" i="1"/>
  <c r="BN77" i="1"/>
  <c r="BN169" i="1"/>
  <c r="BM169" i="1"/>
  <c r="BL169" i="1"/>
  <c r="BN141" i="1"/>
  <c r="BL141" i="1"/>
  <c r="BM141" i="1"/>
  <c r="BN243" i="1"/>
  <c r="BL243" i="1"/>
  <c r="BM243" i="1"/>
  <c r="BL65" i="1"/>
  <c r="BN65" i="1"/>
  <c r="BM65" i="1"/>
  <c r="BM223" i="1"/>
  <c r="BL223" i="1"/>
  <c r="BN223" i="1"/>
  <c r="BL127" i="1"/>
  <c r="BN127" i="1"/>
  <c r="BM127" i="1"/>
  <c r="BL147" i="1"/>
  <c r="BM147" i="1"/>
  <c r="BN147" i="1"/>
  <c r="AP116" i="1"/>
  <c r="BM194" i="1"/>
  <c r="BN194" i="1"/>
  <c r="BL194" i="1"/>
  <c r="BL186" i="1"/>
  <c r="BM186" i="1"/>
  <c r="BN186" i="1"/>
  <c r="AO120" i="1"/>
  <c r="AO10" i="1"/>
  <c r="BN209" i="1"/>
  <c r="BM209" i="1"/>
  <c r="BL209" i="1"/>
  <c r="BN161" i="1"/>
  <c r="BM161" i="1"/>
  <c r="BL161" i="1"/>
  <c r="BM260" i="1"/>
  <c r="BN260" i="1"/>
  <c r="BL260" i="1"/>
  <c r="AO145" i="1"/>
  <c r="BN126" i="1"/>
  <c r="BL126" i="1"/>
  <c r="BM126" i="1"/>
  <c r="BM274" i="1"/>
  <c r="BN274" i="1"/>
  <c r="BL274" i="1"/>
  <c r="BL66" i="1"/>
  <c r="BN66" i="1"/>
  <c r="BM66" i="1"/>
  <c r="BN102" i="1"/>
  <c r="BL102" i="1"/>
  <c r="BM102" i="1"/>
  <c r="BN121" i="1"/>
  <c r="BM121" i="1"/>
  <c r="BL121" i="1"/>
  <c r="BL226" i="1"/>
  <c r="BM226" i="1"/>
  <c r="BN226" i="1"/>
  <c r="AN74" i="1"/>
  <c r="BM176" i="1"/>
  <c r="BN176" i="1"/>
  <c r="BL176" i="1"/>
  <c r="AN161" i="1"/>
  <c r="BL235" i="1"/>
  <c r="BM235" i="1"/>
  <c r="BN235" i="1"/>
  <c r="AP199" i="1"/>
  <c r="BA8" i="1"/>
  <c r="AZ34" i="1"/>
  <c r="BD6" i="1"/>
  <c r="BB34" i="1"/>
  <c r="BA255" i="1"/>
  <c r="BB125" i="1"/>
  <c r="AZ255" i="1"/>
  <c r="BA165" i="1"/>
  <c r="AP163" i="1"/>
  <c r="BB153" i="1"/>
  <c r="AN145" i="1"/>
  <c r="AZ44" i="1"/>
  <c r="AP145" i="1"/>
  <c r="BA153" i="1"/>
  <c r="AZ125" i="1"/>
  <c r="BB193" i="1"/>
  <c r="AN148" i="1"/>
  <c r="BB89" i="1"/>
  <c r="BB192" i="1"/>
  <c r="AO148" i="1"/>
  <c r="AZ193" i="1"/>
  <c r="AP200" i="1"/>
  <c r="BA95" i="1"/>
  <c r="BA251" i="1"/>
  <c r="AZ187" i="1"/>
  <c r="AZ128" i="1"/>
  <c r="AZ170" i="1"/>
  <c r="BA170" i="1"/>
  <c r="AZ165" i="1"/>
  <c r="BB186" i="1"/>
  <c r="AZ210" i="1"/>
  <c r="AN187" i="1"/>
  <c r="BA51" i="1"/>
  <c r="AZ256" i="1"/>
  <c r="BA192" i="1"/>
  <c r="AO246" i="1"/>
  <c r="BB209" i="1"/>
  <c r="AP246" i="1"/>
  <c r="AZ16" i="1"/>
  <c r="BB220" i="1"/>
  <c r="BA168" i="1"/>
  <c r="BB120" i="1"/>
  <c r="BB16" i="1"/>
  <c r="BB168" i="1"/>
  <c r="BA92" i="1"/>
  <c r="BA120" i="1"/>
  <c r="AZ92" i="1"/>
  <c r="BA186" i="1"/>
  <c r="BB221" i="1"/>
  <c r="AZ220" i="1"/>
  <c r="BB187" i="1"/>
  <c r="BA221" i="1"/>
  <c r="AZ209" i="1"/>
  <c r="AN201" i="1"/>
  <c r="AO185" i="1"/>
  <c r="AP201" i="1"/>
  <c r="BB206" i="1"/>
  <c r="AN200" i="1"/>
  <c r="AN9" i="1"/>
  <c r="AP9" i="1"/>
  <c r="AO187" i="1"/>
  <c r="BB83" i="1"/>
  <c r="BB95" i="1"/>
  <c r="BA206" i="1"/>
  <c r="AZ173" i="1"/>
  <c r="BB173" i="1"/>
  <c r="BA74" i="1"/>
  <c r="AZ99" i="1"/>
  <c r="BA83" i="1"/>
  <c r="AP10" i="1"/>
  <c r="AN10" i="1"/>
  <c r="AO144" i="1"/>
  <c r="AZ137" i="1"/>
  <c r="BB210" i="1"/>
  <c r="AN165" i="1"/>
  <c r="AO199" i="1"/>
  <c r="BB137" i="1"/>
  <c r="AZ87" i="1"/>
  <c r="AP165" i="1"/>
  <c r="AZ107" i="1"/>
  <c r="AN199" i="1"/>
  <c r="AZ150" i="1"/>
  <c r="BA107" i="1"/>
  <c r="BB150" i="1"/>
  <c r="AZ106" i="1"/>
  <c r="AZ51" i="1"/>
  <c r="BA232" i="1"/>
  <c r="AO117" i="1"/>
  <c r="BB8" i="1"/>
  <c r="AZ78" i="1"/>
  <c r="AZ232" i="1"/>
  <c r="BA116" i="1"/>
  <c r="AZ74" i="1"/>
  <c r="AZ169" i="1"/>
  <c r="AN144" i="1"/>
  <c r="BA98" i="1"/>
  <c r="AR6" i="1"/>
  <c r="BA169" i="1"/>
  <c r="AZ98" i="1"/>
  <c r="AO162" i="1"/>
  <c r="BA128" i="1"/>
  <c r="BA248" i="1"/>
  <c r="AP98" i="1"/>
  <c r="AZ251" i="1"/>
  <c r="BA87" i="1"/>
  <c r="AN98" i="1"/>
  <c r="BB169" i="1"/>
  <c r="AN185" i="1"/>
  <c r="BA28" i="1"/>
  <c r="BB99" i="1"/>
  <c r="AZ28" i="1"/>
  <c r="BB106" i="1"/>
  <c r="BB28" i="1"/>
  <c r="AP117" i="1"/>
  <c r="BA89" i="1"/>
  <c r="BB189" i="1"/>
  <c r="BB263" i="1"/>
  <c r="BB256" i="1"/>
  <c r="AZ8" i="1"/>
  <c r="BA189" i="1"/>
  <c r="AZ116" i="1"/>
  <c r="BA263" i="1"/>
  <c r="BB44" i="1"/>
  <c r="BA78" i="1"/>
  <c r="AN163" i="1"/>
  <c r="AZ248" i="1"/>
  <c r="AN162" i="1"/>
  <c r="AO219" i="1"/>
  <c r="AZ47" i="1"/>
  <c r="BB9" i="1"/>
  <c r="AP161" i="1"/>
  <c r="AN160" i="1"/>
  <c r="AO160" i="1"/>
  <c r="BB278" i="1"/>
  <c r="AN44" i="1"/>
  <c r="AZ70" i="1"/>
  <c r="AZ278" i="1"/>
  <c r="AP44" i="1"/>
  <c r="BA144" i="1"/>
  <c r="BB185" i="1"/>
  <c r="BA185" i="1"/>
  <c r="AP176" i="1"/>
  <c r="BB266" i="1"/>
  <c r="AO242" i="1"/>
  <c r="AZ185" i="1"/>
  <c r="AO122" i="1"/>
  <c r="AN257" i="1"/>
  <c r="AP58" i="1"/>
  <c r="AO58" i="1"/>
  <c r="AO44" i="1"/>
  <c r="AN58" i="1"/>
  <c r="BB144" i="1"/>
  <c r="AO196" i="1"/>
  <c r="AN241" i="1"/>
  <c r="AO66" i="1"/>
  <c r="AZ38" i="1"/>
  <c r="BA236" i="1"/>
  <c r="BB236" i="1"/>
  <c r="BB211" i="1"/>
  <c r="BA63" i="1"/>
  <c r="AP120" i="1"/>
  <c r="AN196" i="1"/>
  <c r="BB47" i="1"/>
  <c r="AO259" i="1"/>
  <c r="BA225" i="1"/>
  <c r="AN120" i="1"/>
  <c r="BB70" i="1"/>
  <c r="AZ266" i="1"/>
  <c r="AZ63" i="1"/>
  <c r="AN259" i="1"/>
  <c r="AZ225" i="1"/>
  <c r="AN97" i="1"/>
  <c r="AO257" i="1"/>
  <c r="AO273" i="1"/>
  <c r="AP273" i="1"/>
  <c r="AN273" i="1"/>
  <c r="BB55" i="1"/>
  <c r="AZ55" i="1"/>
  <c r="AO97" i="1"/>
  <c r="AN220" i="1"/>
  <c r="AP66" i="1"/>
  <c r="AP220" i="1"/>
  <c r="AO220" i="1"/>
  <c r="AP96" i="1"/>
  <c r="AN96" i="1"/>
  <c r="AP196" i="1"/>
  <c r="AF6" i="1"/>
  <c r="AN150" i="1"/>
  <c r="AN176" i="1"/>
  <c r="AO161" i="1"/>
  <c r="BB145" i="1"/>
  <c r="BA145" i="1"/>
  <c r="AZ145" i="1"/>
  <c r="AN87" i="1"/>
  <c r="AP87" i="1"/>
  <c r="AP85" i="1"/>
  <c r="AO85" i="1"/>
  <c r="AN85" i="1"/>
  <c r="AZ77" i="1"/>
  <c r="BA77" i="1"/>
  <c r="BB77" i="1"/>
  <c r="AO244" i="1"/>
  <c r="AP244" i="1"/>
  <c r="AN244" i="1"/>
  <c r="AO167" i="1"/>
  <c r="AN258" i="1"/>
  <c r="AP258" i="1"/>
  <c r="AL204" i="1"/>
  <c r="BA136" i="1"/>
  <c r="AP234" i="1"/>
  <c r="AN234" i="1"/>
  <c r="AO234" i="1"/>
  <c r="AZ136" i="1"/>
  <c r="AN116" i="1"/>
  <c r="AO116" i="1"/>
  <c r="AO186" i="1"/>
  <c r="AN186" i="1"/>
  <c r="AN275" i="1"/>
  <c r="AO275" i="1"/>
  <c r="AP275" i="1"/>
  <c r="AO99" i="1"/>
  <c r="AP99" i="1"/>
  <c r="AN99" i="1"/>
  <c r="AP191" i="1"/>
  <c r="AN191" i="1"/>
  <c r="AO191" i="1"/>
  <c r="AN240" i="1"/>
  <c r="AO240" i="1"/>
  <c r="AP240" i="1"/>
  <c r="AO78" i="1"/>
  <c r="BA38" i="1"/>
  <c r="BB10" i="1"/>
  <c r="AP186" i="1"/>
  <c r="AP213" i="1"/>
  <c r="AO213" i="1"/>
  <c r="AO157" i="1"/>
  <c r="AP157" i="1"/>
  <c r="AN157" i="1"/>
  <c r="BB38" i="1"/>
  <c r="AZ212" i="1"/>
  <c r="BA212" i="1"/>
  <c r="AN242" i="1"/>
  <c r="AP242" i="1"/>
  <c r="AO258" i="1"/>
  <c r="AN122" i="1"/>
  <c r="AP122" i="1"/>
  <c r="AP78" i="1"/>
  <c r="AP241" i="1"/>
  <c r="AN219" i="1"/>
  <c r="AP219" i="1"/>
  <c r="AO14" i="1"/>
  <c r="AP14" i="1"/>
  <c r="AN14" i="1"/>
  <c r="AL207" i="1"/>
  <c r="AO8" i="1"/>
  <c r="AP8" i="1"/>
  <c r="AN8" i="1"/>
  <c r="AO164" i="1"/>
  <c r="AP164" i="1"/>
  <c r="AN164" i="1"/>
  <c r="AN78" i="1"/>
  <c r="BB149" i="1"/>
  <c r="BA149" i="1"/>
  <c r="AZ149" i="1"/>
  <c r="BA75" i="1"/>
  <c r="BB75" i="1"/>
  <c r="AZ75" i="1"/>
  <c r="AN243" i="1"/>
  <c r="AO243" i="1"/>
  <c r="BA148" i="1"/>
  <c r="AP167" i="1"/>
  <c r="AO131" i="1"/>
  <c r="AP131" i="1"/>
  <c r="AN131" i="1"/>
  <c r="AZ148" i="1"/>
  <c r="AZ10" i="1"/>
  <c r="AN24" i="1"/>
  <c r="AP24" i="1"/>
  <c r="AO24" i="1"/>
  <c r="AO74" i="1"/>
  <c r="AP74" i="1"/>
  <c r="AP256" i="1"/>
  <c r="AN256" i="1"/>
  <c r="AO256" i="1"/>
  <c r="BB212" i="1"/>
  <c r="BB148" i="1"/>
  <c r="AO150" i="1"/>
  <c r="AO143" i="1"/>
  <c r="AN143" i="1"/>
  <c r="AP143" i="1"/>
  <c r="AZ9" i="1"/>
  <c r="BA9" i="1"/>
  <c r="BA54" i="1"/>
  <c r="BB54" i="1"/>
  <c r="AZ211" i="1"/>
  <c r="BA211" i="1"/>
  <c r="BA121" i="1"/>
  <c r="BB121" i="1"/>
  <c r="AZ121" i="1"/>
  <c r="BB162" i="1"/>
  <c r="AZ162" i="1"/>
  <c r="BA162" i="1"/>
  <c r="AN100" i="1"/>
  <c r="AO100" i="1"/>
  <c r="AP100" i="1"/>
  <c r="AP62" i="1"/>
  <c r="AN62" i="1"/>
  <c r="AO62" i="1"/>
  <c r="BA253" i="1"/>
  <c r="BB253" i="1"/>
  <c r="AZ253" i="1"/>
  <c r="AO215" i="1"/>
  <c r="AN215" i="1"/>
  <c r="AP215" i="1"/>
  <c r="BB46" i="1"/>
  <c r="BA46" i="1"/>
  <c r="AZ46" i="1"/>
  <c r="AZ60" i="1"/>
  <c r="BA60" i="1"/>
  <c r="BB60" i="1"/>
  <c r="AZ91" i="1"/>
  <c r="BA91" i="1"/>
  <c r="BB91" i="1"/>
  <c r="BA68" i="1"/>
  <c r="AZ68" i="1"/>
  <c r="BB68" i="1"/>
  <c r="AO113" i="1"/>
  <c r="AP113" i="1"/>
  <c r="AN113" i="1"/>
  <c r="AP128" i="1"/>
  <c r="AO128" i="1"/>
  <c r="AN128" i="1"/>
  <c r="AZ252" i="1"/>
  <c r="BB252" i="1"/>
  <c r="BA252" i="1"/>
  <c r="AN255" i="1"/>
  <c r="AO255" i="1"/>
  <c r="AP255" i="1"/>
  <c r="AP276" i="1"/>
  <c r="AO276" i="1"/>
  <c r="AN276" i="1"/>
  <c r="AN175" i="1"/>
  <c r="AP175" i="1"/>
  <c r="AO175" i="1"/>
  <c r="AZ188" i="1"/>
  <c r="BB188" i="1"/>
  <c r="BA188" i="1"/>
  <c r="AO217" i="1"/>
  <c r="AP217" i="1"/>
  <c r="AN217" i="1"/>
  <c r="AN36" i="1"/>
  <c r="AP36" i="1"/>
  <c r="AO36" i="1"/>
  <c r="AN263" i="1"/>
  <c r="AP263" i="1"/>
  <c r="AO263" i="1"/>
  <c r="BB105" i="1"/>
  <c r="AZ105" i="1"/>
  <c r="BA105" i="1"/>
  <c r="AP214" i="1"/>
  <c r="AO214" i="1"/>
  <c r="AN214" i="1"/>
  <c r="AZ271" i="1"/>
  <c r="BB271" i="1"/>
  <c r="BA271" i="1"/>
  <c r="AN171" i="1"/>
  <c r="AP171" i="1"/>
  <c r="AO171" i="1"/>
  <c r="AN139" i="1"/>
  <c r="AO139" i="1"/>
  <c r="AP139" i="1"/>
  <c r="AP84" i="1"/>
  <c r="AN84" i="1"/>
  <c r="AO84" i="1"/>
  <c r="AP194" i="1"/>
  <c r="AO194" i="1"/>
  <c r="AN194" i="1"/>
  <c r="AO12" i="1"/>
  <c r="AN12" i="1"/>
  <c r="AP12" i="1"/>
  <c r="AP231" i="1"/>
  <c r="AN231" i="1"/>
  <c r="AO231" i="1"/>
  <c r="BB90" i="1"/>
  <c r="BA90" i="1"/>
  <c r="AZ90" i="1"/>
  <c r="AO224" i="1"/>
  <c r="AP224" i="1"/>
  <c r="AN224" i="1"/>
  <c r="BA15" i="1"/>
  <c r="BB15" i="1"/>
  <c r="AZ15" i="1"/>
  <c r="AZ179" i="1"/>
  <c r="BB179" i="1"/>
  <c r="BA179" i="1"/>
  <c r="AP153" i="1"/>
  <c r="AO153" i="1"/>
  <c r="AN153" i="1"/>
  <c r="AO51" i="1"/>
  <c r="AP51" i="1"/>
  <c r="AN51" i="1"/>
  <c r="BB226" i="1"/>
  <c r="BA226" i="1"/>
  <c r="AZ226" i="1"/>
  <c r="AN65" i="1"/>
  <c r="AO65" i="1"/>
  <c r="AP65" i="1"/>
  <c r="AN11" i="1"/>
  <c r="AO11" i="1"/>
  <c r="AP11" i="1"/>
  <c r="BB81" i="1"/>
  <c r="BA81" i="1"/>
  <c r="AZ81" i="1"/>
  <c r="AO129" i="1"/>
  <c r="AN129" i="1"/>
  <c r="AP129" i="1"/>
  <c r="AZ21" i="1"/>
  <c r="BB21" i="1"/>
  <c r="BA21" i="1"/>
  <c r="AO197" i="1"/>
  <c r="AP197" i="1"/>
  <c r="AN197" i="1"/>
  <c r="BA53" i="1"/>
  <c r="BB53" i="1"/>
  <c r="AZ53" i="1"/>
  <c r="AN107" i="1"/>
  <c r="AO107" i="1"/>
  <c r="AP107" i="1"/>
  <c r="AP18" i="1"/>
  <c r="AN18" i="1"/>
  <c r="AO18" i="1"/>
  <c r="AP109" i="1"/>
  <c r="AO109" i="1"/>
  <c r="AN109" i="1"/>
  <c r="AN115" i="1"/>
  <c r="AO115" i="1"/>
  <c r="AP115" i="1"/>
  <c r="AZ80" i="1"/>
  <c r="BB80" i="1"/>
  <c r="BA80" i="1"/>
  <c r="AP156" i="1"/>
  <c r="AO156" i="1"/>
  <c r="AN156" i="1"/>
  <c r="AO56" i="1"/>
  <c r="AN56" i="1"/>
  <c r="AP56" i="1"/>
  <c r="BA45" i="1"/>
  <c r="AZ45" i="1"/>
  <c r="BB45" i="1"/>
  <c r="AZ67" i="1"/>
  <c r="BA67" i="1"/>
  <c r="BB67" i="1"/>
  <c r="AP94" i="1"/>
  <c r="AN94" i="1"/>
  <c r="AO94" i="1"/>
  <c r="AP125" i="1"/>
  <c r="AN125" i="1"/>
  <c r="AO125" i="1"/>
  <c r="AN216" i="1"/>
  <c r="AO216" i="1"/>
  <c r="AP216" i="1"/>
  <c r="AP268" i="1"/>
  <c r="AN268" i="1"/>
  <c r="AO268" i="1"/>
  <c r="AO76" i="1"/>
  <c r="AP76" i="1"/>
  <c r="AN76" i="1"/>
  <c r="BB237" i="1"/>
  <c r="AZ237" i="1"/>
  <c r="BA237" i="1"/>
  <c r="AP106" i="1"/>
  <c r="AO106" i="1"/>
  <c r="AN106" i="1"/>
  <c r="AP52" i="1"/>
  <c r="AO52" i="1"/>
  <c r="AN52" i="1"/>
  <c r="AN33" i="1"/>
  <c r="AP33" i="1"/>
  <c r="AO33" i="1"/>
  <c r="AN19" i="1"/>
  <c r="AO19" i="1"/>
  <c r="AP19" i="1"/>
  <c r="AP158" i="1"/>
  <c r="AN158" i="1"/>
  <c r="AO158" i="1"/>
  <c r="AP42" i="1"/>
  <c r="AO42" i="1"/>
  <c r="AN42" i="1"/>
  <c r="AN262" i="1"/>
  <c r="AO262" i="1"/>
  <c r="AP262" i="1"/>
  <c r="AO127" i="1"/>
  <c r="AP127" i="1"/>
  <c r="AN127" i="1"/>
  <c r="AN89" i="1"/>
  <c r="AP89" i="1"/>
  <c r="AO89" i="1"/>
  <c r="AO82" i="1"/>
  <c r="AP82" i="1"/>
  <c r="AN82" i="1"/>
  <c r="AO25" i="1"/>
  <c r="AN25" i="1"/>
  <c r="AP25" i="1"/>
  <c r="AO159" i="1"/>
  <c r="AP159" i="1"/>
  <c r="AN159" i="1"/>
  <c r="BA138" i="1"/>
  <c r="BB138" i="1"/>
  <c r="AZ138" i="1"/>
  <c r="CE61" i="1" l="1"/>
  <c r="BB56" i="1"/>
  <c r="BA61" i="1"/>
  <c r="AZ61" i="1"/>
  <c r="BB111" i="1"/>
  <c r="CE56" i="1"/>
  <c r="AZ56" i="1"/>
  <c r="CE111" i="1"/>
  <c r="BA111" i="1"/>
  <c r="AO205" i="1"/>
  <c r="AN205" i="1"/>
  <c r="AP205" i="1"/>
  <c r="BV4" i="1"/>
  <c r="BV3" i="1" s="1"/>
  <c r="BX198" i="1"/>
  <c r="BZ198" i="1"/>
  <c r="BZ4" i="1" s="1"/>
  <c r="BZ3" i="1" s="1"/>
  <c r="CE198" i="1"/>
  <c r="CE203" i="1"/>
  <c r="CE267" i="1"/>
  <c r="CE158" i="1"/>
  <c r="CF207" i="1"/>
  <c r="CE207" i="1"/>
  <c r="CE166" i="1"/>
  <c r="CA198" i="1"/>
  <c r="CA4" i="1" s="1"/>
  <c r="CF206" i="1"/>
  <c r="CF198" i="1"/>
  <c r="CF204" i="1"/>
  <c r="CE204" i="1"/>
  <c r="CE19" i="1"/>
  <c r="CF279" i="1"/>
  <c r="CF83" i="1"/>
  <c r="CF158" i="1"/>
  <c r="CF267" i="1"/>
  <c r="CF166" i="1"/>
  <c r="CF256" i="1"/>
  <c r="CF183" i="1"/>
  <c r="CF19" i="1"/>
  <c r="CF28" i="1"/>
  <c r="CF196" i="1"/>
  <c r="CF128" i="1"/>
  <c r="CF203" i="1"/>
  <c r="CF95" i="1"/>
  <c r="CF173" i="1"/>
  <c r="CB4" i="1"/>
  <c r="CC4" i="1"/>
  <c r="AZ19" i="1"/>
  <c r="BB19" i="1"/>
  <c r="AP203" i="1"/>
  <c r="AP166" i="1"/>
  <c r="BL158" i="1"/>
  <c r="AO166" i="1"/>
  <c r="AO203" i="1"/>
  <c r="AN203" i="1"/>
  <c r="BM158" i="1"/>
  <c r="BX4" i="1"/>
  <c r="BX3" i="1" s="1"/>
  <c r="BY4" i="1"/>
  <c r="BY3" i="1" s="1"/>
  <c r="BN158" i="1"/>
  <c r="AN166" i="1"/>
  <c r="CF8" i="1"/>
  <c r="AX6" i="1"/>
  <c r="BA267" i="1"/>
  <c r="BB267" i="1"/>
  <c r="AL6" i="1"/>
  <c r="AP207" i="1"/>
  <c r="AN207" i="1"/>
  <c r="AO207" i="1"/>
  <c r="AP204" i="1"/>
  <c r="AN204" i="1"/>
  <c r="AO204" i="1"/>
  <c r="CE4" i="1" l="1"/>
  <c r="CE3" i="1" s="1"/>
  <c r="CF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tc={3EC006A2-F95F-447E-951B-26201E95B46B}</author>
    <author>tc={3E685983-34F4-4C1B-B1EA-9007673BD91C}</author>
    <author>tc={C950D3DD-419F-4880-9DDE-E50350E8EB5C}</author>
    <author>tc={E788AA7F-D70F-4F47-A89A-5C69F9002E77}</author>
    <author>tc={CA6F8276-420A-4ECD-A7DE-B16621889DB4}</author>
    <author>tc={CD9FF328-6EA6-4D8A-AEAC-67E77EC04361}</author>
    <author>tc={94D67A49-97F4-41B5-B98D-A7FCDE4A20EC}</author>
    <author>tc={A3052F81-FE38-4905-BF9D-B16215146A03}</author>
    <author>tc={5C2D9738-6BBF-47C9-866E-813FDA248735}</author>
    <author>tc={50CFB2FA-0B00-48C4-AC35-C1ABF4CC3243}</author>
    <author>tc={11CF4B65-B5AE-4892-AF67-16763AB4BE68}</author>
    <author>tc={F96BEAFF-EB49-43AD-B29D-A58AD7B77C88}</author>
  </authors>
  <commentList>
    <comment ref="L2" authorId="0" shapeId="0" xr:uid="{00000000-0006-0000-0100-000001000000}">
      <text>
        <r>
          <rPr>
            <b/>
            <sz val="9"/>
            <color indexed="81"/>
            <rFont val="Tahoma"/>
            <family val="2"/>
          </rPr>
          <t>Usuario:</t>
        </r>
        <r>
          <rPr>
            <sz val="9"/>
            <color indexed="81"/>
            <rFont val="Tahoma"/>
            <family val="2"/>
          </rPr>
          <t xml:space="preserve">
</t>
        </r>
      </text>
    </comment>
    <comment ref="AG7" authorId="1" shapeId="0" xr:uid="{00000000-0006-0000-0100-000002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SINSin iniciarEJEEn ejecuciónREPReprogramadoMODModificadoFINFinalizadoELIMEliminadoSUSPSuspendido</t>
      </text>
    </comment>
    <comment ref="AH7" authorId="2" shapeId="0" xr:uid="{00000000-0006-0000-0100-000003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Registrar los valores de acuerdo con formula definida en el indicador</t>
      </text>
    </comment>
    <comment ref="AI7" authorId="3" shapeId="0" xr:uid="{00000000-0006-0000-0100-000004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Realice una breve descripción y análisis del comportamiento del indicador</t>
      </text>
    </comment>
    <comment ref="AS7" authorId="4" shapeId="0" xr:uid="{00000000-0006-0000-0100-000005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SINSin iniciarEJEEn ejecuciónREPReprogramadoMODModificadoFINFinalizadoELIMEliminadoSUSPSuspendido</t>
      </text>
    </comment>
    <comment ref="AT7" authorId="5" shapeId="0" xr:uid="{00000000-0006-0000-0100-000006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Registrar los valores de acuerdo con formula definida en el indicador</t>
      </text>
    </comment>
    <comment ref="AU7" authorId="6" shapeId="0" xr:uid="{00000000-0006-0000-0100-000007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Realice una breve descripción y análisis del comportamiento del indicador</t>
      </text>
    </comment>
    <comment ref="BE7" authorId="7" shapeId="0" xr:uid="{94D67A49-97F4-41B5-B98D-A7FCDE4A20EC}">
      <text>
        <t>[Comentario encadenado]
Su versión de Excel le permite leer este comentario encadenado; sin embargo, las ediciones que se apliquen se quitarán si el archivo se abre en una versión más reciente de Excel. Más información: https://go.microsoft.com/fwlink/?linkid=870924
Comentario:
    SINSin iniciarEJEEn ejecuciónREPReprogramadoMODModificadoFINFinalizadoELIMEliminadoSUSPSuspendido</t>
      </text>
    </comment>
    <comment ref="BF7" authorId="8" shapeId="0" xr:uid="{A3052F81-FE38-4905-BF9D-B16215146A03}">
      <text>
        <t>[Comentario encadenado]
Su versión de Excel le permite leer este comentario encadenado; sin embargo, las ediciones que se apliquen se quitarán si el archivo se abre en una versión más reciente de Excel. Más información: https://go.microsoft.com/fwlink/?linkid=870924
Comentario:
    Registrar los valores de acuerdo con formula definida en el indicador</t>
      </text>
    </comment>
    <comment ref="BG7" authorId="9" shapeId="0" xr:uid="{5C2D9738-6BBF-47C9-866E-813FDA248735}">
      <text>
        <t>[Comentario encadenado]
Su versión de Excel le permite leer este comentario encadenado; sin embargo, las ediciones que se apliquen se quitarán si el archivo se abre en una versión más reciente de Excel. Más información: https://go.microsoft.com/fwlink/?linkid=870924
Comentario:
    Realice una breve descripción y análisis del comportamiento del indicador</t>
      </text>
    </comment>
    <comment ref="BQ7" authorId="10" shapeId="0" xr:uid="{50CFB2FA-0B00-48C4-AC35-C1ABF4CC3243}">
      <text>
        <t>[Comentario encadenado]
Su versión de Excel le permite leer este comentario encadenado; sin embargo, las ediciones que se apliquen se quitarán si el archivo se abre en una versión más reciente de Excel. Más información: https://go.microsoft.com/fwlink/?linkid=870924
Comentario:
    SINSin iniciarEJEEn ejecuciónREPReprogramadoMODModificadoFINFinalizadoELIMEliminadoSUSPSuspendido</t>
      </text>
    </comment>
    <comment ref="BR7" authorId="11" shapeId="0" xr:uid="{11CF4B65-B5AE-4892-AF67-16763AB4BE68}">
      <text>
        <t>[Comentario encadenado]
Su versión de Excel le permite leer este comentario encadenado; sin embargo, las ediciones que se apliquen se quitarán si el archivo se abre en una versión más reciente de Excel. Más información: https://go.microsoft.com/fwlink/?linkid=870924
Comentario:
    Registrar los valores de acuerdo con formula definida en el indicador</t>
      </text>
    </comment>
    <comment ref="BS7" authorId="12" shapeId="0" xr:uid="{F96BEAFF-EB49-43AD-B29D-A58AD7B77C88}">
      <text>
        <t>[Comentario encadenado]
Su versión de Excel le permite leer este comentario encadenado; sin embargo, las ediciones que se apliquen se quitarán si el archivo se abre en una versión más reciente de Excel. Más información: https://go.microsoft.com/fwlink/?linkid=870924
Comentario:
    Realice una breve descripción y análisis del comportamiento del indicador</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tc={228B8764-1AFF-4B09-8A51-659BBE73056E}</author>
    <author>tc={508FE454-9D37-4546-A42A-EFE10E751600}</author>
  </authors>
  <commentList>
    <comment ref="D5" authorId="0" shapeId="0" xr:uid="{00000000-0006-0000-0600-00000100000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A quien va dirigido </t>
      </text>
    </comment>
    <comment ref="E5" authorId="1" shapeId="0" xr:uid="{00000000-0006-0000-0600-000002000000}">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Evaluar
No evaluar </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C4" authorId="0" shapeId="0" xr:uid="{00000000-0006-0000-0900-000001000000}">
      <text>
        <r>
          <rPr>
            <sz val="11"/>
            <color theme="1"/>
            <rFont val="Arial"/>
            <family val="2"/>
          </rPr>
          <t>======
ID#AAAAMg-B8U0
Marcela Rodríguez Lizcano    (2021-06-11 19:59:18)
Registre el componente, aspecto o área macro que se va a trabajar</t>
        </r>
      </text>
    </comment>
  </commentList>
</comments>
</file>

<file path=xl/sharedStrings.xml><?xml version="1.0" encoding="utf-8"?>
<sst xmlns="http://schemas.openxmlformats.org/spreadsheetml/2006/main" count="11478" uniqueCount="2400">
  <si>
    <t>Etiquetas de fila</t>
  </si>
  <si>
    <t>Cuenta de PRODUCTO</t>
  </si>
  <si>
    <t xml:space="preserve"> Coordinación Operativa</t>
  </si>
  <si>
    <t xml:space="preserve"> Formulación, actualización y acompañamiento Normativo y OPERATIVO</t>
  </si>
  <si>
    <t>1. Planeación Estratégica</t>
  </si>
  <si>
    <t>11. Gestión del Talento Humano</t>
  </si>
  <si>
    <t>12. Gestión de Asuntos Disciplinariios</t>
  </si>
  <si>
    <t>13. Gestión Financiera</t>
  </si>
  <si>
    <t>14. Gestión Administrativa</t>
  </si>
  <si>
    <t>15. Gestión Contractual</t>
  </si>
  <si>
    <t>18. Gestión de Tecnología e Informática</t>
  </si>
  <si>
    <t>3. Gestión de Análisis y Mejora Continua</t>
  </si>
  <si>
    <t>9. Inspección, Vigilancia y Control</t>
  </si>
  <si>
    <t>Educación Nacionalpara Bomberos</t>
  </si>
  <si>
    <t>Evaluación y Seguimiento</t>
  </si>
  <si>
    <t>Fortalecimiento Bomberil</t>
  </si>
  <si>
    <t>Gestión de Atención al Ciudadano</t>
  </si>
  <si>
    <t>GESTIÓN DE COMUNICACIONES</t>
  </si>
  <si>
    <t>Gestión de Cooperación Internacional y Alianzas Estratégicas</t>
  </si>
  <si>
    <t>Gestión Jurídica</t>
  </si>
  <si>
    <t>Total general</t>
  </si>
  <si>
    <t>PLAN DE ACCIÓN INSTITUCIONAL VIGENCIA 2024 - DIRECCIÓN NACIONAL DE BOMBEROS DE COLOMBIA</t>
  </si>
  <si>
    <t>ARTICULACIÓN ESTRATÉGICA</t>
  </si>
  <si>
    <t>Seguimiento 1er. Trimestre 2024</t>
  </si>
  <si>
    <t>Seguimiento 2o. Trimestre 2024</t>
  </si>
  <si>
    <t>SEGUIMIENTO TERCER TRIMESTRE</t>
  </si>
  <si>
    <t>SEGUIMIENTO CUARTO TRIMESTRE</t>
  </si>
  <si>
    <t>Legados de Gobierno</t>
  </si>
  <si>
    <t>Relación Programa de Gobierno</t>
  </si>
  <si>
    <t>Relación Plan Nacional de Desarrollo (PND)</t>
  </si>
  <si>
    <t>Relación con los Objetivos de Desarrollo Sostenible (ODS)</t>
  </si>
  <si>
    <t>Relación con Acuerdos de Paz
(Plan Marco de Implementación  - PMI y Compromisos PDET)</t>
  </si>
  <si>
    <t>Relación Política Pública
(Ley, Doc Conpes, Decreto, Otro)</t>
  </si>
  <si>
    <t xml:space="preserve">Objetivo Estratégico Sectorial </t>
  </si>
  <si>
    <t>PILAR ESTRATÉGICO</t>
  </si>
  <si>
    <t>OBJETIVOS ESTRATÉGICOS</t>
  </si>
  <si>
    <t>OBJETIVOS TÁCTICOS</t>
  </si>
  <si>
    <t>PROCESO</t>
  </si>
  <si>
    <t>DEPENDENCIA</t>
  </si>
  <si>
    <t>PRODUCTO</t>
  </si>
  <si>
    <t>DIMENSIÓN</t>
  </si>
  <si>
    <t>POLITICA MIPG</t>
  </si>
  <si>
    <t>RUBRO</t>
  </si>
  <si>
    <t>PRESUPUESTO</t>
  </si>
  <si>
    <t>LIDER PROCESO</t>
  </si>
  <si>
    <t>RESPONSABLE ACTIVIDAD</t>
  </si>
  <si>
    <t>META 2024</t>
  </si>
  <si>
    <t xml:space="preserve">INDICADOR </t>
  </si>
  <si>
    <t>FORMULA DE CALCULO</t>
  </si>
  <si>
    <t>UNIDAD DE MEDIDA</t>
  </si>
  <si>
    <t>CRITERIOS DE EVALUACIÓN</t>
  </si>
  <si>
    <t>1er TRIMESTRE</t>
  </si>
  <si>
    <t>2o. TRIMESTRE</t>
  </si>
  <si>
    <t>3er TRIMESTRE</t>
  </si>
  <si>
    <t>4o. TRIMESTRE</t>
  </si>
  <si>
    <t>PESO % (Ponderación por producto)</t>
  </si>
  <si>
    <t>PESO % (Ponderación por proceso)</t>
  </si>
  <si>
    <t>PESO % (Ponderación por dependencia)</t>
  </si>
  <si>
    <t>PESO % (Ponderación Por Objetivo)</t>
  </si>
  <si>
    <t>Programado 1er. Trimestre</t>
  </si>
  <si>
    <t>Estado del Producto</t>
  </si>
  <si>
    <t>Resultado del indicador</t>
  </si>
  <si>
    <t>Análisis del resultado del indicador</t>
  </si>
  <si>
    <t>OBSERVACIONES</t>
  </si>
  <si>
    <t>Desempeño periodo</t>
  </si>
  <si>
    <t>Avance Periodo</t>
  </si>
  <si>
    <t>Análisis Planeación</t>
  </si>
  <si>
    <t>Resultado por Producto</t>
  </si>
  <si>
    <t>Resultado por Proceso</t>
  </si>
  <si>
    <t>Resultadopor dependencia</t>
  </si>
  <si>
    <t>Resultadopor Objetivo</t>
  </si>
  <si>
    <t>Programado 2o.  Trimestre</t>
  </si>
  <si>
    <t>Programado 3er.  Trimestre</t>
  </si>
  <si>
    <t>Programado 4o.  Trimestre</t>
  </si>
  <si>
    <t>PROGRAMADO TRIMESTRE III y IV</t>
  </si>
  <si>
    <t>PROGRAMADO TRIMESTRE I Y II TOTAL</t>
  </si>
  <si>
    <t>PROGRAMADO TOTAL</t>
  </si>
  <si>
    <t>AUMULADO TOTAL</t>
  </si>
  <si>
    <t>CUMPLIMIENTO TOTAL POR PRODUCTO</t>
  </si>
  <si>
    <t>Nuevo ordenamiento territorial alrededor del agua</t>
  </si>
  <si>
    <t>1. Colombia Economia para la vida</t>
  </si>
  <si>
    <t>Transformación: Ordenamiento del territorio alrededor del agua y justicia ambiental.</t>
  </si>
  <si>
    <t>ODS 11. Ciudades y comunidades sostenibles</t>
  </si>
  <si>
    <t>n/a</t>
  </si>
  <si>
    <t>Ley 1575 de 2012 Ley General de Bomberos</t>
  </si>
  <si>
    <t xml:space="preserve">Propiciar la seguridad y conviencia ciudadana , el orden público, así como la atencióny control en situaciones que vulneren o amenacen a la población </t>
  </si>
  <si>
    <t>3. MODERNIZACIÓN Y FORTALECIMIENTO INSTITUCIONAL</t>
  </si>
  <si>
    <t>3. Fortalecer en un 100% el desempeño organizacional e institucional de la Dirección Nacional de Bomberos de Colombia.</t>
  </si>
  <si>
    <t>3.1.Fortalecer la capacidad institucional promoviendo en su talento humano la disposición del servicio con calidad, emprendimiento y gestión pública efectiva, brindando condiciones técnicas y administrativas renovadas</t>
  </si>
  <si>
    <t>Dirección</t>
  </si>
  <si>
    <t>Monitoreo y seguimiento a planes sectoriales e institucionales</t>
  </si>
  <si>
    <t>Evaluación de Resultados</t>
  </si>
  <si>
    <t>Planeación Institucional</t>
  </si>
  <si>
    <t>GESTIÓN</t>
  </si>
  <si>
    <t xml:space="preserve">Director (a) </t>
  </si>
  <si>
    <t>Gestor proceso</t>
  </si>
  <si>
    <t>Monitoreo y seguimiento a planes sectoriales e institucionales realizados.</t>
  </si>
  <si>
    <t>No. De planes con monitoreo y seguimiento realizado/No. De planes con monitoreo y seguimiento programado *100</t>
  </si>
  <si>
    <t>Porcentaje</t>
  </si>
  <si>
    <t>Reportes en Trimestre I:
1.	PAI Monitoreo y seguimiento trimestre IV de 2023
2.	PAI formulado 2024
3.	PES Monitoreo y seguimiento trimestre IV de 2023
4.	PAAC formulado 2024
5.	Riesgos de Corrupción y Gestión formulados 2024
6.	Indicadores formulados 2024.
Reportes en Trimestre II:
7.	PES Monitoreo y seguimiento trimestre I
8.	PAAC con seguimiento primer cuatrimestre
9.	Riesgos de Corrupción primer cuatrimestre
Reportes en Trimestre III:
10.	PAI Monitoreo y seguimiento trimestre II
11.	PES Monitoreo y seguimiento trimestre II
12.	PAAC con seguimiento segundo cuatrimestre
13.	Riesgos de Corrupción segundo cuatrimestre
Reportes en Trimestre IV:
14.	PAI Monitoreo y seguimiento trimestre III
15.	PES Monitoreo y seguimiento trimestre III
16.	PAAC con seguimiento tercer cuatrimestre
17.	Riesgos de Corrupción tercer cuatrimestre</t>
  </si>
  <si>
    <t>EJE</t>
  </si>
  <si>
    <t xml:space="preserve">Se dio cumplimiento al 100% de las actividades designadas para este periodo </t>
  </si>
  <si>
    <t xml:space="preserve">El resultado está acorde con la actividad presupuestada para este periodo </t>
  </si>
  <si>
    <t>De acuerdo a las actividades programadas para el tercer trimestres se presenta  1. PAI Monitoreo y seguimiento trimestre II,  2.PES Monitoreo y seguimiento trimestre II Y  3. PAAC con seguimiento segundo cuatrimestre</t>
  </si>
  <si>
    <t>Verificadas las evidencias se encuentran los productos acorde a lo informado por el proceso</t>
  </si>
  <si>
    <t>FIN</t>
  </si>
  <si>
    <t>De acuerdo a las actividades programadas para el tercer trimestres se presenta  1. PAI Monitoreo y seguimiento trimestre III,  2.PES Monitoreo y seguimiento trimestre III Y  3. PAAC con seguimiento III cuatrimestre, 4.Riesgos de Corrupción con seguimiento III cuatrimestre</t>
  </si>
  <si>
    <t>Se evidencian los planes sectoriales e institucionales</t>
  </si>
  <si>
    <t>Monitoreo y seguimiento a Proyecto de Inversión (Meta Física y Recursos de Inversión).</t>
  </si>
  <si>
    <t>Monitoreo a meta física y recursos de inversión de la entidad realizados e informados a la alta dirección</t>
  </si>
  <si>
    <t>(No. De monitoreos realizados/No. De monitoreos programados)*100</t>
  </si>
  <si>
    <t xml:space="preserve">Informe realizado
Lista de asistencia a comité
</t>
  </si>
  <si>
    <t>Se adjunta acta de comité directivo de los meses de julio, agosto y septiembre donde se realiza monitoreo a Proyecto de Inversión (Meta Física y Recursos de Inversión).</t>
  </si>
  <si>
    <t>Se adjunta acta de comité directivo de los meses de octubre, noviembre y diciembre donde se realiza monitoreo a Proyecto de Inversión (Meta Física y Recursos de Inversión).</t>
  </si>
  <si>
    <t>se evidencian las presentaciones de los comites directivos del segundo semestre</t>
  </si>
  <si>
    <t>Informes de resultados de la gestión institucional con base en los referentes estratégicos de la entidad.</t>
  </si>
  <si>
    <t>Direccionamiento Estratégico</t>
  </si>
  <si>
    <t>Informes de resultados elaborados y presentados a la alta dirección</t>
  </si>
  <si>
    <t>(No. De informes realizados/No. De informes programados)*100</t>
  </si>
  <si>
    <t>Número</t>
  </si>
  <si>
    <t>Se realizará un informe de resultados de la gestión  en cada uno de los cortes trimestrales de la Planeación Institucional. 
Trim I. El primer reporte se presenta en enero con corte 30 de diciembre del año inmediatamente anterior. 
Trim II. El segundo reporte se presenta en abril con corte 30 de marzo.
Trim III. El tercer reporte se presenta en Julio con corte 30 de Junio.
Trim IV. El cuarto reporte se presenta en octubre con corte 30 de septiembre.</t>
  </si>
  <si>
    <t>No aplica para este periodo</t>
  </si>
  <si>
    <t>Se adjunta informe de resultados de gestión del I Y II trimestre de 2024</t>
  </si>
  <si>
    <t>Se adjunta informe de resultados de gestión del III trimestre de 2024</t>
  </si>
  <si>
    <t>Se verifica informe de resultados del tercer trimestre</t>
  </si>
  <si>
    <t>Formulación y gestión de figuras presupuestales de la DNBC</t>
  </si>
  <si>
    <t>Gestión Presupuestal y Eficiencia del gasto público</t>
  </si>
  <si>
    <t>Figuras presupuestales gestionadas</t>
  </si>
  <si>
    <t>(Numero defiguras presupuestales gestionadas/No. De figuras presupuestales requeridas)*100</t>
  </si>
  <si>
    <t>En cada uno de los trimestres se evidenciará la gestión frente a:
Seguimiento a la ejecución de vigencia futuras aprobadas
Formulación de anteproyecto de presupuesto
Sustentación de anteproyecto de presupuesto.
Solicitud de vigencias futuras</t>
  </si>
  <si>
    <t>Los reportes relacionados con vigencias futuras se presentan para el segundo semestre del 2024</t>
  </si>
  <si>
    <t>Se Gestionaron en el periodo figuras presupuestales correspondiente al MGMP y POAI 2025</t>
  </si>
  <si>
    <t>Se adjunta la priorización presupuestal de inversión, programación presupuestal 2025, circular 051-4 DNP, POAI 2025</t>
  </si>
  <si>
    <t>Se adjunta solicitud vigencias futuras</t>
  </si>
  <si>
    <t>Se verifican las vigencias futuras de funcionamiento gestionadas</t>
  </si>
  <si>
    <t>Informes de Ley e interinstitucionales solicitados</t>
  </si>
  <si>
    <t>Informes de ley e interinstitucionales elaborados y presentados</t>
  </si>
  <si>
    <t>(No. De informes elaborados y presentados/ No. De informes requeridos)*100</t>
  </si>
  <si>
    <t>Informes requeridos por el Ministerio del Interior, Ministerio de HCP, DNP, Congreso, Contraloría, DAFP</t>
  </si>
  <si>
    <t>Se dio respuesta a los requerimientos de la circular semanal del Ministerio de interior y respuesta contraloria punto 5 y 6</t>
  </si>
  <si>
    <t>Se presento informe de SCI del Primer semestre, diligenciamiento de información semanl para el Ministerior del Interior, con logros relevantes de la entidad (Reportado en formularios de google), Reporte a SIRECI correspondiente al PM institucional.</t>
  </si>
  <si>
    <t>Se verifican los informes relacionados</t>
  </si>
  <si>
    <t>Formulación Planeación Institucional 2025</t>
  </si>
  <si>
    <t>Jornada de Planeacion 2025 realizada</t>
  </si>
  <si>
    <t>No. Jornadas de Planeacion realizadas</t>
  </si>
  <si>
    <t>Material de apoyo para la ejecución de la jornada
Listas de asistencia
Documentación sobre lineamientos y directrices formuladas para la vigencia 2025</t>
  </si>
  <si>
    <t>SIN</t>
  </si>
  <si>
    <t>NA</t>
  </si>
  <si>
    <t>Programado para ser ejecutado y reportado en el último trismestre de 2024</t>
  </si>
  <si>
    <t>n.a.</t>
  </si>
  <si>
    <t>Se realizó la Jornada de Planeación 20240y 2025</t>
  </si>
  <si>
    <t>Se verifica la realización de jornada de planeación cierre vigencia 2024 y polaneación 2025</t>
  </si>
  <si>
    <t>3.3.Consolidar los procesos organizacionales de la entidad.​</t>
  </si>
  <si>
    <t>Monitoreo y seguimiento a los Riesgos de Gestión</t>
  </si>
  <si>
    <t>Seguimiento y Evaluación del Desempeño Institucional</t>
  </si>
  <si>
    <t>Lideres de Proceso</t>
  </si>
  <si>
    <t>Gestores de Proceso</t>
  </si>
  <si>
    <t>Diligenciamiento del informe de Gestión de los riesgos de gestión</t>
  </si>
  <si>
    <t>(No. De reportes realizados/No. De reportes Programados)*100</t>
  </si>
  <si>
    <t>Diligenciamiento matriz entregada por Gestión de Análisis y Mejora Continua:
Segundo trimestre: 1 informe de enero a junio reportado en Julio 
Tercer trimestre:  1 informe de julio, agosto y septiembre reportado en octubre.
Cuarto trimestre:  1 informe de  octubre, noviembre, diciembre reportado el 10 de diciembre</t>
  </si>
  <si>
    <t>para este periodo no se se ejecuta ni reporta esta actividad</t>
  </si>
  <si>
    <t>Se dio cumplimiento al 100% de las actividades designadas para este periodo, reporte controles de los riesgos de gestion del proceso</t>
  </si>
  <si>
    <t>Se presenta informe de riesgos de gestión del tercer trimestre de 2024</t>
  </si>
  <si>
    <t>Se presenta informe de riesgos de gestión del IV trimestre de 2024</t>
  </si>
  <si>
    <t>Se verifica reporte de riesgos</t>
  </si>
  <si>
    <t>x</t>
  </si>
  <si>
    <t>Reporte de seguimiento al PAAC</t>
  </si>
  <si>
    <t>Reportes de seguimiento y monitoreo al PAAC realizados</t>
  </si>
  <si>
    <t>(No. De reportes de monitoreo y seguimiento realizados/No. De Reportes de monitoreo y seguimiento programados)*100</t>
  </si>
  <si>
    <t>Diligenciamiento Matriz Avance PAAC y Riesgos de Corrupción:
Cuatrimestre I: Reporte enero a abril  reportado el 2 dia habil de mayo
Cuatrimestre II: Reporte mayo a agosto  reportado el 2 dia habil de septiembre
Cuatrimestres III: Reporte septiembre a diciembre  reportado el 20 diciembre</t>
  </si>
  <si>
    <t>Se dio cumplimiento al 100% de las actividades designadas para este periodo, se reporti el primer ciatrimestre del pAAC riesgos de corrupción y plan de acción</t>
  </si>
  <si>
    <t>Se presenta informe de PAAC y Riesgos de corrupción del 2 cuatrimestre de 2024</t>
  </si>
  <si>
    <t>Se presenta informe de PAAC y Riesgos de corrupción del III cuatrimestre de 2024</t>
  </si>
  <si>
    <t>SE presento información del segundo cuatrimestre</t>
  </si>
  <si>
    <t>Reporte trimestral de Indicadores de gestión del proceso</t>
  </si>
  <si>
    <t>Registros de medición de indicadores de gestión del proceso realizados</t>
  </si>
  <si>
    <t>(No. De indicadores reportados en el período/No. De indicadores definidos a reportar en el período)*100</t>
  </si>
  <si>
    <t>Diligenciamiento matriz entregada por Gestión de Análisis y Mejora Continua:
Segundo trimestre: 1 informe de enero a junio reportado en Julio
Tercer trimestre:  1 informe de julio, agosto y septiembre reportado en octubre.
Cuarto trimestre:  1 informe de  octubre, noviembre, diciembre reportado el 10 de diciembre</t>
  </si>
  <si>
    <t>Se dio cumplimiento al 100% de las actividades designadas para este periodo, reporte tablero de indicadores del proceso</t>
  </si>
  <si>
    <t>Se presentan los indicadores del proceso de planeación junto con su respectivo análisis</t>
  </si>
  <si>
    <t>De acuerdo con el informe de Gestión de análisi y mejora continua se adelantó reporte y gestión frente a revisión y actualización de indicadores</t>
  </si>
  <si>
    <t>Documentación Sistema de Gestión DNBC</t>
  </si>
  <si>
    <t>Documentos del sistema de gestión formulados y/o actualizados</t>
  </si>
  <si>
    <t>(No. De documentos revisados y/o Actualizados/No.  De documentos Programados para Formular y/o Actualizar)*100</t>
  </si>
  <si>
    <t>Documentos actualizados:
Trimestre II 50% Trimestre IV 50%</t>
  </si>
  <si>
    <t>Se dio cumplimiento al 100% de las actividades designadas para este periodo. Actualización procediiento PAA</t>
  </si>
  <si>
    <t>Se presenta evidencia formalizada en SIGE</t>
  </si>
  <si>
    <t>Programado para ser ejecutado y reportado en el último trimestre de 2024</t>
  </si>
  <si>
    <t xml:space="preserve">No se requirió actualización de documentación del proceso de Planeación </t>
  </si>
  <si>
    <t>Se da por cumplida con la documentacion reportada en periodo anterior y se tiene en cuenta para validación de la acción además el trabajo en las mesas de trabajo de revisión de hojas de vida de indicadores.</t>
  </si>
  <si>
    <t>Avance al Plan de mejora institucional reportado</t>
  </si>
  <si>
    <t xml:space="preserve">Registro de seguimiento al Plan de mejoramiento </t>
  </si>
  <si>
    <t>Diligenciamiento matriz Plan de Mejoramiento de Gestión e Institucional (CGR)
Plan deMejoramiento de Gestión: Reporte con corte al 30 de septiembre y entregado el 01 dia habil de octubre
Plan de Mejoramiento Institucional (CGR): Reporte con corte al 30 de junio y entregado 01 de habil de Julio.
Reporte con corte al 15 de diciembre y entregado el 18 de diciembre.
Carpeta con la evidencia de cumplimiento relacionado.</t>
  </si>
  <si>
    <t>Se presenta avance el plan de mejora institucional</t>
  </si>
  <si>
    <t>Se reporta información relacionada con el Plan demejora</t>
  </si>
  <si>
    <t>Referentes Estratégicos</t>
  </si>
  <si>
    <t>Formato acta de seguimiento a los referentes estratégicos</t>
  </si>
  <si>
    <t>Actas de referentes estratégicos:
Trimestre II: Mayo y junio. (1 actas)
Trimestre III: Julio, agosto y septiembre (3 actas)
Trimestre IV: Octubre, noviembre y diciembre. (3 actas)</t>
  </si>
  <si>
    <t>Se presenta acta de referentes estratégicos de julio, agosto y septiembre 2024</t>
  </si>
  <si>
    <t>Se presenta acta de referentes estratégicos de octubre, noviembre y diciembre 2024</t>
  </si>
  <si>
    <t>Se cuenta con actas de refrentes estratégicos del cuarto trimestre}</t>
  </si>
  <si>
    <t>Transferencia Documental</t>
  </si>
  <si>
    <t>Gestión Documental</t>
  </si>
  <si>
    <t>Formato Transferencia Documental</t>
  </si>
  <si>
    <t>(No. Formatos diligenciados con información transferida/No. Formatos diligenciados con información transferida requerida)*100</t>
  </si>
  <si>
    <t>Trimestre IV: Formato Inventario con información transferida.</t>
  </si>
  <si>
    <t>Se realizó Formato Inventario con información transferida.</t>
  </si>
  <si>
    <t>Se gestiono la acción</t>
  </si>
  <si>
    <t>2. Gestión de Comunicaciones</t>
  </si>
  <si>
    <t>Plan de Comunicación Externa DNBC (incluye  el ejercicio de Live / MasterClass para Bomberos)</t>
  </si>
  <si>
    <t>Información y Comunicación</t>
  </si>
  <si>
    <t>Transparencia, acceso a la información pública y lucha contra la corrupción</t>
  </si>
  <si>
    <t>INVERSIÓN</t>
  </si>
  <si>
    <t>Gestor Proceso</t>
  </si>
  <si>
    <t>Plan de Comunicación Externa DNBC formulado e implementado</t>
  </si>
  <si>
    <t xml:space="preserve">(Actividades ejecutadas / Actividades programadas)*100 </t>
  </si>
  <si>
    <t>*1 Plan de Comunicación Interna y Externa DNBC formulado con estrategias para la vigencia
*7 Soportes de ejecución de las actividades programadas.</t>
  </si>
  <si>
    <t xml:space="preserve">Se realizó 1 Plan de Comunicación Interna y Externa DNBC formulado con estrategias para la vigencia, así mismo se adjunta 2 Soportes de ejecución de las actividades programadas, como un informe de redes sociales. </t>
  </si>
  <si>
    <t xml:space="preserve">Se adjunta también un informe detallado de redes sociales del mes de julio. </t>
  </si>
  <si>
    <t>Se evidencia que el plan de comunicaciones se encuentra en Word sin formalizar, para evaluar se tienen en cuenta 2 actividades no planificadas en el periodo, se recomienda dar cumplimiento a los criterios definidos por el mismo proceso</t>
  </si>
  <si>
    <t xml:space="preserve">EJE </t>
  </si>
  <si>
    <t xml:space="preserve">Se realizó 1 Plan de Comunicación Interna y Externa DNBC formulado con estrategias para la vigencia, esta en proceso de formalización,  así mismo se adjunta 3 Soportes de ejecución de las actividades programadas, de los meses de junio, agosto y septiembre. </t>
  </si>
  <si>
    <t>Desde el trimestre II presentan documento de plan de comunicación sin formalizar ni divulgar. Se presenta relación de actividades de los tres meses del periodo en redes. Se recomienda avanzar con la actividad en rezago para cumplir con la meta en la vigencia.</t>
  </si>
  <si>
    <t>Cumple con lo planteado en los criterios de evaluación.</t>
  </si>
  <si>
    <t>Plan de Comunicación Interna DNBC ( incluye campañas de activación BTL e impresión de gaceta).</t>
  </si>
  <si>
    <t>Plan de Comunicación Interna DNBC formulado e implementado</t>
  </si>
  <si>
    <t xml:space="preserve">Se elimina esta actividad, teniendo en cuenta que esta inmersa en la actividad del plan de comunicaciones </t>
  </si>
  <si>
    <t>ELIM</t>
  </si>
  <si>
    <t>Plan de Comunicación Digital DNBC (incluye la pauta de contenido de gestión para su visibilziación).</t>
  </si>
  <si>
    <t>Plan de Comunicación Digital DNBC formulado e implementado</t>
  </si>
  <si>
    <t>Actualización política pública de comunicación de la DNBC</t>
  </si>
  <si>
    <t xml:space="preserve">Política pública de comunicación de la DNBC, actualizada </t>
  </si>
  <si>
    <t>(1 Politica actualizada)</t>
  </si>
  <si>
    <t>* 1 Documento actualizado de la política pública de comunicación de la DNBC</t>
  </si>
  <si>
    <t xml:space="preserve"> Se realizó la actualización de 1 Documento de la política pública de comunicación de la DNBC</t>
  </si>
  <si>
    <t>Se evidencia que el el documento de la política pública de comunicación se encuentra en Word sin formalizar</t>
  </si>
  <si>
    <t xml:space="preserve">Se realizó la actualización de 1 Documento de la política pública de comunicación de la DNBC, el cual se encuentra en proceso de formalización. </t>
  </si>
  <si>
    <t>Reportan actualización de la política sin evidencia, desde el trimestre anterior se encuentra en proceso de formalización pero tampoco se enviencia esta solicitud.</t>
  </si>
  <si>
    <t>Se Adjuta en formato Pdf del plan de comunicación interna y externa debidametente formalizado. Adicionalmente, la matriz de soporte de las actividades ejecutadas mensualmente.</t>
  </si>
  <si>
    <t xml:space="preserve">Se identifica el documento de la Politica de comunicación interna y externa formalizada. Cumpliendo asi con los criterios de evaluación. </t>
  </si>
  <si>
    <t xml:space="preserve">Gestión de contenidos para la página web </t>
  </si>
  <si>
    <t>Contenidos publicados en la página web de la DNBC</t>
  </si>
  <si>
    <t>(Contenidos elaborados / Contenidos publicados)*100</t>
  </si>
  <si>
    <t>*Documento en pdf y Link de la publicación del contenido de gestión publicado en la página web.</t>
  </si>
  <si>
    <t>Documento en pdf y Link de la publicación del contenido de gestión publicado en la página web</t>
  </si>
  <si>
    <t xml:space="preserve">Se realizaron los contenidos para la publicación en página web, sin embargo actualmente la página de la DNBC presenta fallas y por tal motivo no se publicaron, así mismo se adjunta correo del area de tic. </t>
  </si>
  <si>
    <t>El resultado es acorde a lo requerido</t>
  </si>
  <si>
    <t>Documento en pdf, con la evidencia de 5 publicaciones y Link de la publicación del contenido de gestión publicado en la página web</t>
  </si>
  <si>
    <t>De acue4rdo con las evidencias presentadas no hay link de publicación, se reviso la pagina web y hay dos contenidos publicados y los 3 comunicados de prensa no se encuentran publicados</t>
  </si>
  <si>
    <t>no se evidencia nada</t>
  </si>
  <si>
    <t>Material educativo que garantice la inclusión de público infantil en la adopción de hábitos para la gestión del riesgo de desastres.</t>
  </si>
  <si>
    <t>Contenido para cartilla digital e impresa elaborado</t>
  </si>
  <si>
    <t>Contenidos para cartilla digital e impresa elaborado</t>
  </si>
  <si>
    <t xml:space="preserve">Número </t>
  </si>
  <si>
    <t>Se elimina la actividad, teniendo en cuenta que ya trascurrio el primer semestre del año y para el cumplimiento de dicha actividad toma un tiempo prolongado en diseño e impresión, así mismo no se cuenta con el rubro necesario.</t>
  </si>
  <si>
    <t>Contenido que alimente el portal niños de la página web institucional</t>
  </si>
  <si>
    <t>Actividades realizadas y publicadas en el periodo</t>
  </si>
  <si>
    <t>No. De actividades  publicadas en el portal</t>
  </si>
  <si>
    <t xml:space="preserve">Se elimina esta actividad, teniendo en cuenta que esta inmersa en la actividad del contenidos para página web </t>
  </si>
  <si>
    <t xml:space="preserve">Se hizo la formalizacion del documento de la política publica de comunicaciones </t>
  </si>
  <si>
    <t>Seguimiento y monitoreo de la actividad bomberil en  medios de comunicación</t>
  </si>
  <si>
    <t>Informe mensual de monitoreo y seguimiento en medios de la actividad bomberil realizado</t>
  </si>
  <si>
    <t>No. De Informes realizados</t>
  </si>
  <si>
    <t>Informe mensual  con análisis del comportamiento de la actividad bomberil en medios
se anexa matriz mensual con el registro de publicaciones sobre bomberos del país y DNBC en medios  de comunicación</t>
  </si>
  <si>
    <t>Se realizaron dos Informes mensuales correspondientes a los meses de mayo y junio  con análisis del comportamiento de la actividad bomberil en medios</t>
  </si>
  <si>
    <t>Así mismo se anexa matriz mensual con el registro de publicaciones sobre bomberos del país y DNBC en medios  de comunicación</t>
  </si>
  <si>
    <t>De acuerdo con evidencias se ajusta la meta delplan y lo sporcentajes de evaluación para poder tener en cuenta la gestión que adelanto el proceso en el periodo.</t>
  </si>
  <si>
    <t>Se realizaron Informes mensuales correspondientes a los meses de julio y agosto con análisis del comportamiento de la actividad bomberil en medios</t>
  </si>
  <si>
    <t>Se evidencian matriz de monitoreo e informe de los meses de julio y agosto</t>
  </si>
  <si>
    <t>Documento en pdf con sus respectivos links de las publicaciones generadas para la página web.</t>
  </si>
  <si>
    <t>Se cumple con los criterios de evaluacion establecidos, evidenciando los informes de Noviembre y Diciembre , asi como la matriz</t>
  </si>
  <si>
    <t>Jornadas Bombero por un día para Colaboradores DNBC - sensibilización</t>
  </si>
  <si>
    <t>Jornadas Bombero por un día para Colaboradores DNBC realizadas</t>
  </si>
  <si>
    <t>No. De Jornadas Bombero por un día para Colaboradores DNBC realizadas</t>
  </si>
  <si>
    <t xml:space="preserve">Se elimina la actividad teniendo en cuenta que no hace parte del objeto del proceso de comunicaciones </t>
  </si>
  <si>
    <t xml:space="preserve">Campaña Nacionales de prevención de emergencias y gestión del riesgo </t>
  </si>
  <si>
    <t>Diseño y ejecución de campaña Nacional de prevención de emergencias y gestión del riesgo</t>
  </si>
  <si>
    <t>Campaña diseñada y ejecutada</t>
  </si>
  <si>
    <t xml:space="preserve">E*Trimestre III: Documento pdf con el diseño de la estrategia de la campaña a realizar 
*Trimestre IV: Informe de la campaña ejecutada </t>
  </si>
  <si>
    <t xml:space="preserve">Se realizón un documento con la campaña nacional de prevención de desastres </t>
  </si>
  <si>
    <t xml:space="preserve">Durante el trimestre II se adelanto el documento con la estrategia de comunicación para la prevención de desastres </t>
  </si>
  <si>
    <t>Se presemta documentpo de estrategia de campaña, se recomida su formalización y pesentación a la alta dirección para avanzar en la evaluación del producto en el siguiente trimestre</t>
  </si>
  <si>
    <t xml:space="preserve">Documento con informe de la ejecución de la campaña nacional de emergencias </t>
  </si>
  <si>
    <t>Se presenta un informe de 2 paginas donde solo una es texto la segunda son imágenes, en la evaluación del periodo anterior se recomendo presentar formalmente documento de diseño de campaña con la alta Dirección, por lo tanto se sugiere para cumplir con el producto y los criterios que definio el mismo proceso, soportar para el ultimo trimestre la presentación formal de los documentos de diseño y ejecución con un informe mejor elaborado.</t>
  </si>
  <si>
    <t xml:space="preserve">Se evidencia el informe de las campañas realizadas donde se presentan las distintas acciones realizadas y los resultados de las mismas, con evidencias de publicaciones y respectivos links de las publicaciones. </t>
  </si>
  <si>
    <t xml:space="preserve">Producción audiovisual de videos con Bomberos del territorio nacional, relacionado a la estrategia Guardines de la Vida </t>
  </si>
  <si>
    <t>Producción audiovisual de videos realizados en los formatos requeridos para redes sociales</t>
  </si>
  <si>
    <t>No. De videos realizados</t>
  </si>
  <si>
    <t>Se elimina la actividad teniendo en cuenta que esta inmersa en la actividad de podcast.</t>
  </si>
  <si>
    <t xml:space="preserve">Se realizaron los respectivos docuemtos con la informacion de los meses de noviembre y diciembre,referente al moniterio de medios </t>
  </si>
  <si>
    <t>Diseño y ejecución Curso de Comunicación para Bomberos</t>
  </si>
  <si>
    <t>Curso de comunicación para bomberos diseñado y realizado</t>
  </si>
  <si>
    <t>No de Cursos de comunicación realizados</t>
  </si>
  <si>
    <t xml:space="preserve">Se modifica la actividad teniendo en cuenta que ya trascurrio el primer semestre y requiere de más tiempo para diseño y elaboración de los ejes tematicos del curso </t>
  </si>
  <si>
    <t>Desarrollo Jornada de sensibilización en comunicación para bomberos</t>
  </si>
  <si>
    <t>Jornada de sensibilización en comunicación para bomberos</t>
  </si>
  <si>
    <t>Jornada de sensibilización en comunicación para bomberos, diseñado y ejecutado</t>
  </si>
  <si>
    <t>Trimestre III: 
*Diseño del contenido de la jornada (documento en pdf)
*Realización de la convocatoria para los bomberos (pieza de comunicación convocatoria)
Trimestre IV: 
*Realización de la jornada (listados de asistencia y contenido de lecciones)</t>
  </si>
  <si>
    <t>Se realizó el diseño de una Jornada de Sensibilización en Comunicación Asertiva para los Cuerpos de Bomberos</t>
  </si>
  <si>
    <t xml:space="preserve">En el Documento se planteó los objetivos generales y especificos de la jornada de sensibilización, así como la metodologia para su realización. </t>
  </si>
  <si>
    <t>Se presenta documento diseño de realización de una jornada con el objetivo, el alcance y metodología propuesta. Pendiente el contenido de la jornada de acuerdo con los criterios definidos por el mismo proceso, actividad progarmada para el trimestre III</t>
  </si>
  <si>
    <t xml:space="preserve">Se realizó la propuesta de ejes tematicos para el desarrollo de la jornada de sensibilización de comunicación asertiva para bomberos. </t>
  </si>
  <si>
    <t>Se evidencia documento de diseño pero no hay convocatoria en el periodo tal como lo definio el proceso para este periodo.</t>
  </si>
  <si>
    <t>Se anexa el informe de campaña ejecutada sobre emergencias</t>
  </si>
  <si>
    <t xml:space="preserve">Adicionalmete, se agraga el diseño de la estrategia referente a emergencias </t>
  </si>
  <si>
    <t xml:space="preserve">Cumple con los criterios establecidos para el cumplimiento de la meta en el periodo Trimestre IV: 
listados de asistencia y contenido de lecciones. </t>
  </si>
  <si>
    <t xml:space="preserve">Diseño y formalización del  Manual de Identidad Visual </t>
  </si>
  <si>
    <t xml:space="preserve">Manual de Identidad Visual </t>
  </si>
  <si>
    <t>Manual de identidad visual diseñado e implementado</t>
  </si>
  <si>
    <t xml:space="preserve">*1 documento en pdf que contenga el manual de identidad visual, bajo el lineamiento de función pública según ley 2345 de 2023
*1 documento interno _ manual de identidad visual </t>
  </si>
  <si>
    <t xml:space="preserve">Se realizó el manual de identidad </t>
  </si>
  <si>
    <t xml:space="preserve">Se realizó el documento en pdf que contiene el manual de identidad visual, bajo los lineamientos de función pública y con el formato de planeación estrategica. </t>
  </si>
  <si>
    <t>Se presenta como evidencia un documento sin formalizar, por lo tanto no se puede dar avance y cumplimiento hasta tanto no este formalizado como sistema de gestión institucional</t>
  </si>
  <si>
    <t>Se realiza la respectiva formalizacion del documeto "Manual de Identidad"</t>
  </si>
  <si>
    <t xml:space="preserve">Se evidencia el Manual de indentidad formalizado. Cumpliendo con los criterios de evaluación. </t>
  </si>
  <si>
    <t xml:space="preserve">Podcast fortalecimiento de la imagen de Bomberos </t>
  </si>
  <si>
    <t xml:space="preserve">Diseño y ejecución Podcast fortalecimiento de la imagen de Bomberos </t>
  </si>
  <si>
    <t xml:space="preserve">Podcast diseñado y ejecutado </t>
  </si>
  <si>
    <t xml:space="preserve">Trimestre III: *Guiones de entrevistas podcast 
Trimestre IV:
*Videos que evidencien la ejecución del podcast </t>
  </si>
  <si>
    <t xml:space="preserve">Se realizó un documento que contiene la propuesta de guiones para los podcast </t>
  </si>
  <si>
    <t>Se presenta documento de 3 paginas con posible guión</t>
  </si>
  <si>
    <t>Evidencia de video Podcast</t>
  </si>
  <si>
    <t xml:space="preserve">Se evidencia correo de solicitud para realizacion de posdcast, pero esta no es la evidencia que cumple los criterios de evaluación, por lo tanto no se cumple con lo requerido ni con la meta propuesta </t>
  </si>
  <si>
    <t>Campaña celebración 11 de noviembre, día nacional de bombero</t>
  </si>
  <si>
    <t xml:space="preserve">Diseño y ejecución de la Campaña conmemoración día nacional de bombero </t>
  </si>
  <si>
    <t>Campaña conmemoración para el 11 de noviembre publicados</t>
  </si>
  <si>
    <t xml:space="preserve">Trimestre III: *Reuniones de preproducción con el operador (listados de asistencia, actas de reunión).
Trimestre IV: Producción de la campaña y publicación del producto. </t>
  </si>
  <si>
    <t xml:space="preserve">Se Realizó reuniones con el operado para la ejcución de la campaña nacional del día del bombero </t>
  </si>
  <si>
    <t xml:space="preserve">Se adjuntan actas de reunión </t>
  </si>
  <si>
    <t>Se presentan dos actas de reunion sin firma ni listado de asistencia y en esas actas no se decriben detalles de preproducción, como definio el proceso que trabajarian elproducto.</t>
  </si>
  <si>
    <t>Informe de produción de la campaña "11 de noviembre, dia nacional del Bombero"</t>
  </si>
  <si>
    <t xml:space="preserve">Cumple con los criterios de evaluacion establecidos,  establecidos Producción de la campaña y publicación del producto. </t>
  </si>
  <si>
    <t>Se realizó el reporte de los riesgos de gestión con sus evidencias</t>
  </si>
  <si>
    <t>El proceso no reporta avance sin embargo se verifica entrega de matriz de riesgos, Se recomienda diligenciar el plan de acción frente a las entregas que hace el proceso</t>
  </si>
  <si>
    <t xml:space="preserve">Matriz de reporte de riesgos de gestión </t>
  </si>
  <si>
    <t xml:space="preserve">Se realiza el respectivo cargue se la matriz y sus evidencias </t>
  </si>
  <si>
    <t>Se verifica con informe de planeación el reporte de controles de los riesgos para el periodo evaluado</t>
  </si>
  <si>
    <t>cuatrimestre I: Reporte mes de abril
cuatrimestre II: Reporte mes de Agosto
cuatrimestres III : Reporte mes de Diciembre</t>
  </si>
  <si>
    <t>No se evidencia reporte seguimiento monitoreo al PAAC</t>
  </si>
  <si>
    <t>No presentaron paac en el mes de septiembre</t>
  </si>
  <si>
    <t>Matriz PAAC</t>
  </si>
  <si>
    <t>Sepresenta reporte de seguimientl al PAAC parcial</t>
  </si>
  <si>
    <t>Trimestre I y II: Registro 30 de Junio
Trimestre III: Registro 30 de septiembre
Trimestres IV : Registro 31 de diciembre</t>
  </si>
  <si>
    <t xml:space="preserve">No se evidencia reporte de indicadores </t>
  </si>
  <si>
    <t>Se evalua trabajo de revisión y fomulación de indicadores con Gestión de Análisis y Mejora Continua</t>
  </si>
  <si>
    <t xml:space="preserve">Matriz de indicadores de gestion </t>
  </si>
  <si>
    <t>Documentos actualizados y/o formulados</t>
  </si>
  <si>
    <t>(No . De Documentos Actualizados y o Formulados/programados)*100</t>
  </si>
  <si>
    <t>rimestre III: Actualización de los formatos de Creación y publicación de contenidos y externos</t>
  </si>
  <si>
    <t>No reportan</t>
  </si>
  <si>
    <t>Se tiene en cuenta el trabajo realizado para actualización de fichas de hojas de vida de indicadores</t>
  </si>
  <si>
    <t>Se realizó el seguimiento a las actividades del plan de mejora institucional en articulación con el area de TI</t>
  </si>
  <si>
    <t>Reporta Plan de Mejora procesos</t>
  </si>
  <si>
    <t xml:space="preserve">No se evidencia el acta de referentes estrátegicos </t>
  </si>
  <si>
    <t>No reporta</t>
  </si>
  <si>
    <t>N.A.</t>
  </si>
  <si>
    <t>Estado documental del Sistema de Gestión de la DNBC</t>
  </si>
  <si>
    <t>Informes Elaborados</t>
  </si>
  <si>
    <t>(No. de Informes elaborados/ No. De Informes programados)*100</t>
  </si>
  <si>
    <t>Informe trimestral del estado de la documentacion del SIGE en el que se informa acerca de los documentos asesorados.
Nota: Se reporta cuantitativamente lo recibido hasta el dia 20 del mes de corte, esto con el fin de reportar la asesoría.</t>
  </si>
  <si>
    <t xml:space="preserve">Se realizó el primer informe del estado de la documentacion del SIGE en el que se informa acerca de los documentos asesorados en el primer trimestre  </t>
  </si>
  <si>
    <t xml:space="preserve">Se realizó el segundo informe del estado de la documentacion del SIGE que corresponde al Trimestre III en el que se informa acerca de los documentos asesorados en el  trimestre  </t>
  </si>
  <si>
    <t>Se presenta informe del estado de la documentación del Sistema de Gestión de acuerdo con lo solicitado en el periodo al proceso de Gestión de Anáilisi y Mejora C</t>
  </si>
  <si>
    <t xml:space="preserve">Se realizó el tercer informe del estado de la documentacion del SIGE que corresponde al Trimestre IV en el que se informa acerca de los documentos asesorados en el  trimestre  </t>
  </si>
  <si>
    <t>Se verifica informe documental del periodo descrito</t>
  </si>
  <si>
    <t>Reportes de Aseguramiento de los referentes estratégicos de la de la DNBC.</t>
  </si>
  <si>
    <t xml:space="preserve">No. De Informes de los Referentes Estratégicos elaborados </t>
  </si>
  <si>
    <t>II Trimestre:   Informe Reporte de monitoreo de indicadores.
Informe reporte Monitoreo Plan de Mejoramiento Institucional . (Gestión)
Informe Monitoreo de Riesgos de Gestion.
III Trimestre:  Informe Reporte de monitoreo de indicadores.
Informe reporte Monitoreo Plan de Mejoramiento Institucional. (Contraloría)
Informe Monitoreo de Riesgos de Gestion.
IV Trimestre: Informe Reporte de monitoreo de indicadores.
Informe reporte Monitoreo Plan de Mejoramiento Institucional (Gestión y contraloría).
Informe Monitoreo de Riesgos de Gestion.</t>
  </si>
  <si>
    <t xml:space="preserve">Se realizó el Informe de monitoreo de indicadores.
Se realizó el  Informe seguimiento a plan de mejoramiento Contraloría General de la República junio 2024.
Se relizó el informe de monitoreo de riesgos de gestion 
</t>
  </si>
  <si>
    <t xml:space="preserve">Se realizó el Informe de monitoreo de indicadores.
Se realizó el  Informe seguimiento a plan de mejoramiento Institucional 2024.
Se relizó el informe de monitoreo de riesgos de gestion 
</t>
  </si>
  <si>
    <t>De acuerdo con las evidencias se presentan los dos informes de monitoreo de los referentes indicadores y riesgos de gestión trabajados en el trimestre, El informe de plan de mejora será presentado en el siguiente trimestre de acuerdo con la planeación institucional</t>
  </si>
  <si>
    <t>Se realizó el Informe de monitoreo de indicadores.</t>
  </si>
  <si>
    <t>Se evidencia informe de Plan de Mejora, Riesgos e Indicadores</t>
  </si>
  <si>
    <t>Revisión de la Política y el Manual de Gestión del Riesgo de la DNBC y actualización y divulgación en caso de ser necesario</t>
  </si>
  <si>
    <t xml:space="preserve">Politica y Manual de Gestion del Riesgo Revisada </t>
  </si>
  <si>
    <t>Política y Manual de Gestión del Riesgo Revisada, actualizada y divulgada en caso de ser necesario</t>
  </si>
  <si>
    <t>Trimestre IV:Soporte de revisión de la Política y Manual de Gestión del Riesgo y en caso de requerirse actualización, soporte de actividades de sensibilización, divulgación y capacitación</t>
  </si>
  <si>
    <t>Se realizó la  revisión de la Política y Manual de Gestión del Riesgo</t>
  </si>
  <si>
    <t>Se evidencia accion</t>
  </si>
  <si>
    <t>Informes de seguimiento a la implementación del Modelo Integrado de Planeación (MIPG) en la Dirección Nacional de Bomberos de Colombia (Dimensiones y Políticas del Modelo)</t>
  </si>
  <si>
    <t>Informes presentados</t>
  </si>
  <si>
    <t xml:space="preserve">No. De Informes presentados </t>
  </si>
  <si>
    <t>Se presentan dos documentos que contienen el Informe de resultados del plan de acción de las acciones y estrategias adoptadas para la operación del Modelo Integrado de Planeación (MIPG), así:
Trimestre III: 1 Informe (corresponde al periodo Enero - Junio)
Trimestre IV: 1 Informe (corresponde al periodo Julio - Septiembre)</t>
  </si>
  <si>
    <t xml:space="preserve">Se realizó el primer Informe  de resultados del plan de acción ( TRIMESTRE I 
Y II DE 2024) de las acciones y estrategias adoptadas para la operación del Modelo Integrado de Planeación (MIPG) </t>
  </si>
  <si>
    <t>Se presentrael informe de resultados con fecha de corte 30 de junio y presentado en Comité Directivo en el tercer trimestre donde se  presentan los resultados de avance de MIPG enla entidad dimensiones y políticas</t>
  </si>
  <si>
    <t>Se realizó el  Informe  de resultados del plan de acción ( TRIMESTRE III</t>
  </si>
  <si>
    <t>SE verifica acción</t>
  </si>
  <si>
    <t>Caracterización de partes interesadas actualizada</t>
  </si>
  <si>
    <t>Documento de caracerización de usuarios actualizado</t>
  </si>
  <si>
    <t>No. Documentos actualizado s</t>
  </si>
  <si>
    <t>IV: Documento de caracerización de usuarios actualizado</t>
  </si>
  <si>
    <t>Se sube la caracterización de partes interesadas actualizada</t>
  </si>
  <si>
    <t>Se valida evidencia</t>
  </si>
  <si>
    <t xml:space="preserve">Asesoría y acompañamiento para la reformulación de los indicadores de gestión de la DNBC. </t>
  </si>
  <si>
    <t>Asesorías y acompañamientos para la reformulación de los indicadores de gestión de la DNBC realizados</t>
  </si>
  <si>
    <r>
      <t xml:space="preserve">(Numero de asesorias realizadas/ No. Total </t>
    </r>
    <r>
      <rPr>
        <sz val="11"/>
        <color rgb="FFFF0000"/>
        <rFont val="Tahoma"/>
        <family val="2"/>
      </rPr>
      <t>de asesorías solicitadas</t>
    </r>
    <r>
      <rPr>
        <sz val="11"/>
        <color rgb="FF000000"/>
        <rFont val="Tahoma"/>
        <family val="2"/>
      </rPr>
      <t xml:space="preserve"> procesos de la DNBC )*100</t>
    </r>
  </si>
  <si>
    <t xml:space="preserve">Asesoría y acompañamiento a los procesos:
-Listados de asistencia
-Tablero de indicadores </t>
  </si>
  <si>
    <t xml:space="preserve">Se realizó acompañamientos al área de Gestión de Atención al Usuario respecto a la formulación del indicador de satisfacción al usuario </t>
  </si>
  <si>
    <t>Se realizó un total de 31 acompañamientos a los 19 procesos  respecto a la formulación de los indicadores</t>
  </si>
  <si>
    <t xml:space="preserve">se evidencia en soportes la asesoria y acompañamiento a los procesos ern la revisión de indicadores </t>
  </si>
  <si>
    <t>Se realizó un total de 6 acompañamientos a los procesos de IVC, Educación,  Talento Humano, Gestión Documental, Gestión Contractual respecto a  indicadores</t>
  </si>
  <si>
    <t>Se verifica con informe presentado</t>
  </si>
  <si>
    <t>Medición de la evaluación del desempeño FURAG</t>
  </si>
  <si>
    <t>FURAG diligenciado y entregado en el plazo pactado</t>
  </si>
  <si>
    <t>No. FURAG presentado</t>
  </si>
  <si>
    <t>Mesas de trabajo con los procesos de la DNBC para el diligenciamiento.
-Listas de asistencia de reunión FURAG
-Certificado de Reporte</t>
  </si>
  <si>
    <t>Se realizó la reunion de FURAG y se generó el certificado de reporte</t>
  </si>
  <si>
    <t>Actividad ejecutada en su totalidad en el II trimestre</t>
  </si>
  <si>
    <t xml:space="preserve">Se reporto los riesgos de gestión  </t>
  </si>
  <si>
    <t xml:space="preserve">Se reportó los riesgos de gestión  </t>
  </si>
  <si>
    <t>Se reporta en el mes de julio informe de riesgos de gestión</t>
  </si>
  <si>
    <t>Se reporta informe</t>
  </si>
  <si>
    <t>Se realizó el primer reporte de seguimiento y monitoreo al PAAC</t>
  </si>
  <si>
    <t>Se realizó el segundo reporte de seguimiento y monitoreo al PAAC</t>
  </si>
  <si>
    <t>Se realizó reporte de plan de acción y riesgos de corrupción</t>
  </si>
  <si>
    <t xml:space="preserve">Se realizó  reporte de seguimiento y monitoreo al PAAC correspondiente al tercer cuatrimestre </t>
  </si>
  <si>
    <t>Verificacion de evidencias</t>
  </si>
  <si>
    <t xml:space="preserve">Se hizó la consolidación de la información para el reporte de los 2 indicadores que tiene el proceso del segundo trimestre  </t>
  </si>
  <si>
    <t xml:space="preserve">Se hizó la consolidación de la información para el reporte de los 2 indicadores que tiene el proceso del tercer trimestre  </t>
  </si>
  <si>
    <t>Se evidencia revisión de indicadores para reporte</t>
  </si>
  <si>
    <t xml:space="preserve">Se hizó la consolidación de la información para el reporte de los 2 indicadores que tiene el proceso del IV trimestre  </t>
  </si>
  <si>
    <t>TrimestreII 50% y Trimestre Iv 50%</t>
  </si>
  <si>
    <t xml:space="preserve">Se realizó la actualización del Manual de Gestión de riesgos </t>
  </si>
  <si>
    <t>El próximo reporte esta para realizar el último trimestre</t>
  </si>
  <si>
    <t xml:space="preserve">El primer 50% fue ejecutado en el II trimestre </t>
  </si>
  <si>
    <t xml:space="preserve">Se actualizó el Manual de operación del Sistema Integrado de Gestión </t>
  </si>
  <si>
    <t>Manual reportado</t>
  </si>
  <si>
    <t>Actas de seguimiento de referentes estratégicos con el reporte asociado al avance en Plan de Mejoramiento.
Carpeta con la evidencia de cumplimiento relacionado.</t>
  </si>
  <si>
    <t xml:space="preserve">Se trabajó  en el diligenciamiento del monitoreo de la segunda línea de defensa en la matriz SEGUIMIENTO PM CGR 3-06-2024  y el informe de el Plan de Mejora suscrito con la Contraloría General de la República – CGR </t>
  </si>
  <si>
    <t xml:space="preserve">Se realizó el reporte del plan de mejoramiento institucional </t>
  </si>
  <si>
    <t>Se evidencia reporte plan de mejora institucional</t>
  </si>
  <si>
    <t>Se realiza reporte Plan de Mejora</t>
  </si>
  <si>
    <t>4.2.Generar alianzas público privada en aras de fortalecer la gestión integral del riesgo contra incendios, preparativos y atención de rescate en todas sus modalidades y atención de incidentes con materiales peligrosos</t>
  </si>
  <si>
    <t xml:space="preserve">Se realizó la primera acta de referentes estratégicos evaluando el primer semestre </t>
  </si>
  <si>
    <t>Se realizó las actas de referentes estratégicos correspondientes a los meses de Julio, Agosto y Septiembre</t>
  </si>
  <si>
    <t>Se encuentran las actas de refrentes estratégicos del tercer trimestre</t>
  </si>
  <si>
    <t>Se realizó las actas de referentes estratégicos correspondientes a los meses de Octubre, Noviembre y Diciembre</t>
  </si>
  <si>
    <t>Se verifican actas</t>
  </si>
  <si>
    <t>Se realizó el Formato Inventario con información transferida.</t>
  </si>
  <si>
    <t>Se verifica evidencia formato inventario</t>
  </si>
  <si>
    <t>4. ALIANZAS ESTRATÉGICAS</t>
  </si>
  <si>
    <t>4. Gestionar y afianzar relaciones interinstitucionales con entidades del orden nacional, el sector privado y la comunidad internacional.</t>
  </si>
  <si>
    <t>4. Gestión de Cooperación Internacional y Alianzas Estratégicas</t>
  </si>
  <si>
    <t>Formación de Unidades bomberiles a traves de la gestión de cooperación internacional y alianzas estratégicas</t>
  </si>
  <si>
    <t>Gestión del Conocimiento</t>
  </si>
  <si>
    <t>Gestión del conocimiento</t>
  </si>
  <si>
    <t>Unidades Bomberiles formadas a traves de la gestion de cooperación internacional y alianzas estratégicas.</t>
  </si>
  <si>
    <t>No. Unidades Bomberiles formadas / No. Total de Unidades Bomberiles programadas a formar</t>
  </si>
  <si>
    <t>Trimestre II y III - 25% Y 25% 
-Informe del proceso de la gestión para la formación de las unidades bomberiles.
Trimetre IV - 50%
- Se presentará base de datos de unidades bomberiles capacitadas e informe del proceso de la gestión para la formación de las unidades bomberiles.</t>
  </si>
  <si>
    <t xml:space="preserve">De 30 unidades bomberiles programadas a formar, se formaron 2 en el II trimestre. </t>
  </si>
  <si>
    <r>
      <t xml:space="preserve">Debido a gestiones adelantadas en el segundo trimestre, se requiere re distribuir el % determinado en la columna criterios de evaluación: 
</t>
    </r>
    <r>
      <rPr>
        <b/>
        <sz val="11"/>
        <color theme="1"/>
        <rFont val="Tahoma"/>
        <family val="2"/>
      </rPr>
      <t xml:space="preserve">Trimestre II y III - 25% Y 25% </t>
    </r>
    <r>
      <rPr>
        <sz val="11"/>
        <color theme="1"/>
        <rFont val="Tahoma"/>
        <family val="2"/>
      </rPr>
      <t xml:space="preserve">
-Informe del proceso de la gestión para la formación de las unidades bomberiles.
</t>
    </r>
    <r>
      <rPr>
        <b/>
        <sz val="11"/>
        <color theme="1"/>
        <rFont val="Tahoma"/>
        <family val="2"/>
      </rPr>
      <t>Trimetre IV - 50%</t>
    </r>
    <r>
      <rPr>
        <sz val="11"/>
        <color theme="1"/>
        <rFont val="Tahoma"/>
        <family val="2"/>
      </rPr>
      <t xml:space="preserve">
- Se presentará base de datos de unidades bomberiles capacitadas e informe del proceso de la gestión para la formación de las unidades bomberiles.
Se realizaron gestiones de 31 unidades bomberiles a través de la gestión de Cooperacion Internacional para su formación, donde se postularon las 31 unidades, de las cuales 1 perfil no fue aprobado, 26 fueron aprobados y 4 se encuentran en trámite de aprobación. Las unidades se formaran en el transcurso del III y IV trimestre de acuerdo a la programación de los cursos.</t>
    </r>
  </si>
  <si>
    <t>actividades adelantadas</t>
  </si>
  <si>
    <t>Para el III trimestre se formaron 29 unidades bomberiles de 122 programadas</t>
  </si>
  <si>
    <t>Se realizaron gestiones para la formación de 29 unidades bomberiles a través de la gestión de Cooperacion Internacional para su formación, donde se postularon 122 unidades y se inscribieron y formaron 29 unidades en convocatorias de:
1. OPAQ: 1 (4 convocatorias de las cuales 1 fue aprobada por este organismo de acuerdo a sus criterios, 1 esta en revisión y 2 no fueron aprobados), 
2. ESAP: 28 (se gestionaron 28 unidades bomberiles que se certificaron en los cursos: 20 de control social y 8 de Formación política, derechos humanos de la mujer y la juventud indígenas).</t>
  </si>
  <si>
    <t>Se presenta informe con el estado de la oferta para formación de unidades bomberiles y sus resultados</t>
  </si>
  <si>
    <t>Publicación Digital sobre actualización de la estrategia de Cooperación Internacional y alianzas estratégicas de los Bomberos de Colombia.</t>
  </si>
  <si>
    <t>Publicación en Cooperación Internacional y Alianzas Estratégicas de los Bomberos de Colombia</t>
  </si>
  <si>
    <t>Publicación realizada</t>
  </si>
  <si>
    <t>Trimestre II y III - 33 y 33%.  
- Mesas de trabajo con actores o aliados Cooperantes en el proceso. Actas de reunión y/o avances de documento.
Trimestre IV - 15% Y 15%
- Versión preliminar de publicación para aprobación de la Dirección.T. IV.15%.
- Publicación de documento. T. IV 15%.</t>
  </si>
  <si>
    <t>Se realizó una mesa de trabajo con la UNGRD el 21.06.24, donde se está trabajando en una guía llamada "Protocolo recepción de donaciones en contextos de emergencias" en colaboración con los delegados de la comisión IDRL - Comision Internacional de respuesta a desastres.</t>
  </si>
  <si>
    <r>
      <t xml:space="preserve">Debido a gestiones adelantadas en el segundo trimestre, se requiere re distribuir el % determinado en la columna criterios de evaluación:
</t>
    </r>
    <r>
      <rPr>
        <b/>
        <sz val="11"/>
        <color theme="1"/>
        <rFont val="Tahoma"/>
        <family val="2"/>
      </rPr>
      <t xml:space="preserve">Trimestre II y III - 33 y 33%.  </t>
    </r>
    <r>
      <rPr>
        <sz val="11"/>
        <color theme="1"/>
        <rFont val="Tahoma"/>
        <family val="2"/>
      </rPr>
      <t xml:space="preserve">
- Mesas de trabajo con actores o aliados Cooperantes en el proceso. Actas de reunión y/o avances de documento.
</t>
    </r>
    <r>
      <rPr>
        <b/>
        <sz val="11"/>
        <color theme="1"/>
        <rFont val="Tahoma"/>
        <family val="2"/>
      </rPr>
      <t>Trimestre IV - 15% Y 15%</t>
    </r>
    <r>
      <rPr>
        <sz val="11"/>
        <color theme="1"/>
        <rFont val="Tahoma"/>
        <family val="2"/>
      </rPr>
      <t xml:space="preserve">
- Versión preliminar de publicación para aprobación de la Dirección.T. IV.15%.
- Publicación de documento. T. IV 15%.
Adicionalmente, se cuenta con una cartillada llamada "importancia de la cooperación internacional para la prevención y respuesta a incendios forestales transfronterizos", pero debido a lineamientos de presidencia frente a parametros del manual de identidad visual del Gobierno, se deben eliminar los logos. Razón por la cual se informó a traves de oficio a los aportantes del contenido de la cartilla, notificación de dichas directrices y para IV trimestre se realizará la publicación digital del mismo a traves de comunicaciones.</t>
    </r>
  </si>
  <si>
    <t xml:space="preserve">Para el III trimestre se realizaron 5 acercamientos a traves de mesas de trabajo con la UNGRD, Servicio Forestal para USA, Cuerpos de Bomberos Voluntarios de Envigado, y con al interior de la DNBC con el equipo de comunincaciones  donde se rabajó en la revisión del contenido, así como del diseñor de la cartilla "IMPORTANCIA DE LA COOPERACIÓN INTERNACIONAL PARA LA ATENCIÓN DE INCENDIOS"
</t>
  </si>
  <si>
    <t>mesas de trabajo con:
- UNGRD: 13 de septiembre/2024
- Servicio Forestal para USA: 12 de agosto/2024, 
- Cuerpos de Bomberos Voluntarios de Envigado: 2 de agosto/2024
- equipo de comunincaciones DNBC y cooperación internacional: 3 y 10 de julio/2024</t>
  </si>
  <si>
    <t>Se presentan evidencias de participación de actores en la construcción de la publicación digital propuestaq</t>
  </si>
  <si>
    <t>Espacios de participación, capacitación o actualización internacional para los  bomberos de colombia</t>
  </si>
  <si>
    <t>Participación Ciudadana en la Gestión pública</t>
  </si>
  <si>
    <t>Espacios de participación, capacitación y/o actualización Internacional gestionados en el periodo</t>
  </si>
  <si>
    <t>(No. De espacios gestionados/ No. De espacios demandados) x100</t>
  </si>
  <si>
    <t>1. Informes que indique  los espacio de participación, capacitación y actualización gestionado de acuerdo con la demanda (evidenciar con matriz de seguimiento a convocatorias)</t>
  </si>
  <si>
    <t>Se gestionaron 12 espacios de participación y capacitación demandados por las siguientes organizaciones/entidades: OPAQ, OTCA, GEFF LAC, FUERZA AÉREA COLOMBIANA Y UNIVERSIDAD NUEVA GRANADA, TIKA Y OIEA</t>
  </si>
  <si>
    <t>OTCA: 1 (1 postulado) 
OPAQ: 5 (5 postulados)
UNIVERSIDAD NUEVA GRANADA/FUERZA AEREA COLOMBIANA:1 (19 postulados)
GEFF LAC: 1 (1 postulado)
TIKA: 1 (30 espación que se gestionaron en mesas de trabajo pero por decisión de cancillería en terminos de costos, no se aprobó)
OEIA: 3 (2 postulados - 1 no se postulo)</t>
  </si>
  <si>
    <t>Se presenta matriz de seguimiento a convocatoria y 1 informe de participación 6a Reunión del Grupo de Expertos en Fuegos Forestales de 
Latinoamérica y el Caribe (GEFF LAC).</t>
  </si>
  <si>
    <t>Se gestionaron 7 espacios de participación y capacitación demandados por las siguientes organizaciones/entidades: OPAQ, SENA Y ESAP</t>
  </si>
  <si>
    <t xml:space="preserve">OPAQ: 4 espacios gestionados (2 participantes)
SENA: 2 espacios gestionados (238 participantes)
ESAP: 2 espacios gestionados (122 participantes)
</t>
  </si>
  <si>
    <t>Teniendo en cuenta que los criterios establecen un informe con los espacios de participación gestionados, y solo se remiten evidencias de correos y listados se valora sobre la mitad del avance propuesto para el periodo, se recomienda adelantar el informe para el siguiente periodo</t>
  </si>
  <si>
    <t>Monitoreo a los Cuerpos de Bomberos de acciones de Cooperación en los territorios registradas en el Sistema RUE</t>
  </si>
  <si>
    <t>Monitoreos realizados del  uso  del mecanismo de seguimiento al registro de acciones de cooperación por parte de los Cuerpos de Bomberos</t>
  </si>
  <si>
    <t>( No. De monitoreos realizados/ No. De monitoreos programados)*100</t>
  </si>
  <si>
    <t xml:space="preserve">Se presentaran 5 reportes de segumiento: bimensuales iniciando en el  mes de abril </t>
  </si>
  <si>
    <t>1. Se realizó un primer monitoreo en abril donde se constató que se cargo información por parte del cuerpo de bomberos de Nataga (convenio suscrito el 5 de feb. 2024)
2. Se realizó un segundo monitoreo en junio donde se constató que se cargo información por parte del cuerpo de bomberos de Buenaventura (convenio suscrito el 5 de junio. 2024)</t>
  </si>
  <si>
    <t>Debido a la falta de informacion cargada en el modulo, se solicito modificación al mismo el 27 de mayo 2024, el cual a la fecha se encuentra en funcionamiento con los nuevos criterios establecidos para su diligenciamiento.</t>
  </si>
  <si>
    <t>eje</t>
  </si>
  <si>
    <t>Se realizó tercer monitoreo en el mes de septiembre abril donde se constató que sigue cargada la misma información por parte del cuerpo de bomberos de Nataga y Buenaventura (septiembre 2024)</t>
  </si>
  <si>
    <t>Debido a la falta de informacion cargada en el modulo, se esta evaluando por parte del equipo de cooperación un metodo distinto de difusión para el diligenciamiento del módulo ya que a través de chats y oficios no se ha obtenido respuesta por parte de los cuerpos de bomberos.</t>
  </si>
  <si>
    <t>Se evidencia correo con el monitoreo, se recomienda generar estrategias para que el producto formulado generre el impacto institucional deseado por el proceso</t>
  </si>
  <si>
    <t>No se realizo reporte por no estar habilitado el RUE</t>
  </si>
  <si>
    <t xml:space="preserve">Debido a que a la fecha no se encuentra vigente habilitada la plataforma por adquisicion de la licencia no se puede generar reporte numero 4 del modulo de cooperacion. </t>
  </si>
  <si>
    <t xml:space="preserve">Al revisar los correos electronicos adjuntados como evidencias se puede identificar que desde el mes de septiembre se informo la situacion del modulo, teniendo en cuenta que el IV reporte iniciaba desde el mes de octubre hasta Diciembre;  se debio solicitar una actualización del plan de acción en lo que tiene que ver con la meta y entrega de evidencias planteando nuevas estrategias para su cumplimiento. Por lo anterior se da una calificación de 0,2 frente al 100% que es el 40% de la meta anual. </t>
  </si>
  <si>
    <t>Acompañamiento en la gestión de  acuerdos binacionales o multilaterales en la gestión de cooperación internacional y alianzas estratégicas</t>
  </si>
  <si>
    <t>Acuerdos binacionales o multilaterales acompañados</t>
  </si>
  <si>
    <t>(No. de acuerdos binacionales o multilaterales firmados o en proceso con acompañamiento/No. De acuerdos binacionales o multilaterales que requieren formalización y acompañamiento) x 100</t>
  </si>
  <si>
    <t xml:space="preserve">
Trimestre II y III - 33% Y 33%. 
- Informe de la creación-solicitud y/o seguimiento de acuerdos con base en las reuniones sostenidas y los avances logrados en los acuerdos en proceso de acompañamiento o firmados con entidades nacionales e internacionales 33% - 33%
Trimestre IV - 34%
- Informe de evalaución de los acuerdos binacionales o multilaterales 34%.</t>
  </si>
  <si>
    <t>Se realizo acomapañamiento de dos solicitudes en el marco de acuerdos binacionales y multilaterales: 
1. Acompañamiento para la estructuración de un memorando de entendimiento con el Gobierno de Canadá (a través del Centro Interagencias de Incendios Forestales de Canadá (CIFFC), la UNGRD y la DNBC sobre el manejo de incendios forestales para la creación de un plan de cooperación durante los periodos de incendios en el país a traves de la trasnferencia de conocimientos y experiencias con asistencias técnicas y capacitaciones.
2. En el marco del Memorando de Entendimiento de Cooperación y Asistencia Mutua para el Manejo Integral del Fuego entre los países miembros de la OTCA (MdE MIF), se realizo acompañamiento en el desarrollo de la Matriz: formato de planeamiento de acciones estratégicas respecto a la cooperación y asistencia mutua, fortalecimiento de capacidades, comunicaciones e incidencias, planificación estratégica y fortalecimiento institucional, para la participación de la DNBC en el primer encuentro primer encuentro regional sobre el Manejo Integral del Fuego, realizado el pasado 4 al 6 de junio en Perú.</t>
  </si>
  <si>
    <r>
      <t xml:space="preserve">Debido a gestiones adelantadas en el segundo trimestre, se requiere re distribuir el % determinado en la columna criterios de evaluación: 
</t>
    </r>
    <r>
      <rPr>
        <b/>
        <sz val="11"/>
        <color theme="1"/>
        <rFont val="Tahoma"/>
        <family val="2"/>
      </rPr>
      <t xml:space="preserve">Trimestre II y III - 33% Y 33%. </t>
    </r>
    <r>
      <rPr>
        <sz val="11"/>
        <color theme="1"/>
        <rFont val="Tahoma"/>
        <family val="2"/>
      </rPr>
      <t xml:space="preserve">
- Informe de la creación-solicitud y/o seguimiento de acuerdos con base en las reuniones sostenidas y los avances logrados en los acuerdos en proceso de acompañamiento o firmados con entidades nacionales e internacionales 33% - 33%
</t>
    </r>
    <r>
      <rPr>
        <b/>
        <sz val="11"/>
        <color theme="1"/>
        <rFont val="Tahoma"/>
        <family val="2"/>
      </rPr>
      <t>Trimestre IV - 34%</t>
    </r>
    <r>
      <rPr>
        <sz val="11"/>
        <color theme="1"/>
        <rFont val="Tahoma"/>
        <family val="2"/>
      </rPr>
      <t xml:space="preserve">
- Informe de evalaución de los acuerdos binacionales o multilaterales 34%.
1. Se esta realizando acompañamiento en la análisis del Modelo de Memorando de Entendimiento enviado via correo electrónico el 28 de mayo por el Gobierno de Canadá (a través del Centro Interagencias de Incendios Forestales de Canadá (CIFFC), la UNGRD y DNBC para revisar los alcances que podría tener una relación de socios con Canadá. Se proyecta entre junio a septiembre por parte de Colombia se estudie el memorando e identifiquen las necesidades de la DNBC.
2. Revisión y diligeciamiento de matriz donde se realizaron propuestas de acciones estratégicas en diferentes temáticas a desarrollarse en el marco del memorando y en el encuentro regional</t>
    </r>
  </si>
  <si>
    <t>Se realizó acomapañamiento en una solicitud bajo el marco de acuerdos binacionales y multilaterales: 
1. En el marco del Memorando de Entendimiento de Cooperación y Asistencia Mutua para el Manejo Integral del Fuego entre los países miembros de la OTCA (MdE MIF), se participó en reunión para coordinación de COOPERACIÓN FINANCIERA A TRAVÉS DEL BANCO DE DESARROLLO ALEMAN (KFW) y los paises miembros de la OTCA, para reducir la presión de la deforestación en la region Amazónica.</t>
  </si>
  <si>
    <t>Esta cooperación se enfocará en la promoción de medidas de protección forestal regionales y transfronterizas, así como en proyectos piloto en el área del manejo integral y combate a incendios.
Nota: Si bien no se aporta un informe de creación, se adjunta nota verbal mediante la cual la Secretaría Permanente de la Organización del Tratado de Cooperación Amazónica (OTCA) convoca a una reunión de carácter informativo que se llevará a cabo el próximo 16 de septiembre a las 9:00 (hora Colombia). La reunión se centrará en la cooperación financiera que se espera lograr con el Banco de Desarrollo Alemán (KFW) para reducir la presión de la deforestación en la Región Amazónica. Esta cooperación se enfocará en la promoción de medidas de protección forestal regionales y transfronterizas, así como en proyectos piloto de los PM de la OTCA en el área del manejo integral y combate a incendios.</t>
  </si>
  <si>
    <t xml:space="preserve">Se evidencia documentación de acompañamiento </t>
  </si>
  <si>
    <t>Se realizaron acompañamientos en la gestión de 2 acuerdos binacionales o multilaterales que se encuentran en gestión.</t>
  </si>
  <si>
    <t xml:space="preserve">Se realizo acomapañamiento de dos solicitudes en el marco de acuerdos binacionales y multilaterales: 
1. Acompañamiento para la estructuración de un memorando de entendimiento con el Gobierno de Canadá (a través del Centro Interagencias de Incendios Forestales de Canadá (CIFFC), la UNGRD y la DNBC sobre el manejo de incendios forestales para la creación de un plan de cooperación durante los periodos de incendios en el país a traves de la trasnferencia de conocimientos y experiencias con asistencias técnicas y capacitaciones.
2. Acompañamiento para la estructuración de un memorando de entendimiento con el grupo GREM de España y la DNBC cuyo objetivo es establecer una cooperación entre las instituciones firmantes para el desarrollo conjunto de actividades de carácter académico, accediendo a los espacios de formación que tiene el Grupo GREM, con el fin de: Contribuir a la profesionalización y fortalecer la capacidad de respuesta de los Cuerpos de Bomberos de Colombia, y la especialidad de búsqueda y rescate con unidades caninas, ante emergencias y desastres que demanden la intervención de los equipos especializados, potencializando al máximo los recursos locales, a través del acceso a conocimientos y formación avanzada para guías y unidades caninas en técnicas operativas de búsqueda de personas y búsqueda tecnológica, alineadas con estándares nacionales e internacionales y cualquier otra acción formativa de análoga naturaleza que pueda contribuir a la formación del personal de esta DNBC. 
</t>
  </si>
  <si>
    <t xml:space="preserve">No se cumplen con los criterios de evaluación ya que para este trimestre se debe presentar el Informe de evalaución de los acuerdos binacionales o multilaterales 34%. Y lo que se presento fue un informe de seguimiento a los acompañamientos. </t>
  </si>
  <si>
    <t>Acompañamiento en la gestión para el fortalecimiento de las instituciones de Bomberos a través de la comunidad internacional y el sector privado</t>
  </si>
  <si>
    <t>Fortalecimiento de las instituciones de bomberos acompañados y gestionados</t>
  </si>
  <si>
    <t>No. de fortalecimientos gestionados o en proceso de acompañamiento/No. de fortalecimientos  quer requiene gestión y acompañamiento) x 100</t>
  </si>
  <si>
    <t xml:space="preserve">Trimestre II - 33%
Generar comunicación con lineamiento de acompañamiento a los procesos de cooperación.
Trimestre III - 33%
Nota: al momento de recibir solicitudes de acompañamiento se presentaran los siguientes informes:
1. Informe de la creación-solicitud y/o acompañamiento al seguimiento de proyectos para el fortalecimiento de las instituciones de Bomberos ante la entidades nacionales e internacional asi como del sector privado.
Trimestre IV - 34%
2. Informe de evalaución de las gestiones y/o acompañamiento adelantados. </t>
  </si>
  <si>
    <t>Se gestionaron 2 acompañamientos demandados para el fortalecimiento de los cuerpos de bomberos de Villa de Leyva y San Pedro (valle) frente a procesos de nacionalización y normalización de vehiculos recibidos por donación.</t>
  </si>
  <si>
    <r>
      <t xml:space="preserve">Se requiere en la columna de criterios de evaluación, especificar los demas trimestres ya que solo se especifica en trimestre II. 
</t>
    </r>
    <r>
      <rPr>
        <b/>
        <sz val="11"/>
        <color theme="1"/>
        <rFont val="Tahoma"/>
        <family val="2"/>
      </rPr>
      <t>Trimestre II - 33%</t>
    </r>
    <r>
      <rPr>
        <sz val="11"/>
        <color theme="1"/>
        <rFont val="Tahoma"/>
        <family val="2"/>
      </rPr>
      <t xml:space="preserve">
Generar comunicación con lineamiento de acompañamiento a los procesos de cooperación.
</t>
    </r>
    <r>
      <rPr>
        <b/>
        <sz val="11"/>
        <color theme="1"/>
        <rFont val="Tahoma"/>
        <family val="2"/>
      </rPr>
      <t xml:space="preserve">
Trimestre III - 33%
</t>
    </r>
    <r>
      <rPr>
        <sz val="11"/>
        <color theme="1"/>
        <rFont val="Tahoma"/>
        <family val="2"/>
      </rPr>
      <t xml:space="preserve">Nota: al momento de recibir solicitudes de acompañamiento se presentaran los siguientes informes:
1. Informe de la creación-solicitud y/o acompañamiento al seguimiento de proyectos para el fortalecimiento de las instituciones de Bomberos ante la entidades nacionales e internacional asi como del sector privado.
</t>
    </r>
    <r>
      <rPr>
        <b/>
        <sz val="11"/>
        <color theme="1"/>
        <rFont val="Tahoma"/>
        <family val="2"/>
      </rPr>
      <t>Trimestre IV - 34%</t>
    </r>
    <r>
      <rPr>
        <sz val="11"/>
        <color theme="1"/>
        <rFont val="Tahoma"/>
        <family val="2"/>
      </rPr>
      <t xml:space="preserve">
2. Informe de evalaución de las gestiones y/o acompañamiento adelantados. 
Se remitió a los cuerpos de bomberos y delegados 2 comunicados con información correspondiente a los lineamiento en terminos de cooperación internacional del proceso de cooperación internacional &amp; alianzas estrategicas de la DNBC, adicionalmente con solicitudes de reporte de información referente a procesos de normalización e importanción de vihiculos de los cuerpos de bomberos.</t>
    </r>
  </si>
  <si>
    <t>Evidencias de la gestión presentadas</t>
  </si>
  <si>
    <t>Se gestionaron 3 acompañamientos demandados para el fortalecimiento de los cuerpos de bomberos de Colombia a traves de la participación en el encuentro de delegados y coordinadores en Santa Marta y el Cuerpos de Bomberos de Cienaga.</t>
  </si>
  <si>
    <t>1. 16 Y 17 de julio encuentro de delegados y coordinadores donde se presento la oferta y el acompañamiento que se brinda a todos los cuerpos de bomberos desde la DNBC del proceso de cooperación internacional
2. Cuerpo de bomberos voluntarios de Cienaga, donación de vehiculo por la DIAN retirado el 1 de agosot en cartagena.
3. Inauguración de la subestación forestal de bomberos indigenas de la cierra nevada de santa marta, con apoyo del gobierno de japón gestionado o a través de cooperación internacional</t>
  </si>
  <si>
    <t>Se evidencian informes de ciomisión y correos que demuestran el acompañamiento a Cuerpos de Bomberos en temas de Fortalecimiento bomberil, sin embargo como dice los criterios no se construyen los informes, es importante contar para el siguiente periodo con los informes de estos procesos.</t>
  </si>
  <si>
    <t xml:space="preserve">Se gestionaron 2 acompañamientos demandados para el fortalecimiento de los cuerpos de bomberos de Colombia a traves de la participación gestion realizada con USAID para el taller CRIMAP y el taller realizo a tra vez de la COMIXTA CUBA. </t>
  </si>
  <si>
    <t xml:space="preserve">1. USAID: taller CRIMAP en la cual se certificaron 24 unidades bomberiles como instructores los cuales estaran prestando el servicio de capacitacion a las diferentes instituaciones de bomberos. 
2. COMIXTA CUBA: Participacion 4 unidades bomberiles que busca "Fortalecer técnica y operativamente a los cuerpos de bomberos de Cuba y Colombia en salvamento y rescate en todas sus modalidades"
</t>
  </si>
  <si>
    <t>Se presentan iunformes de los fortalecimientos realizados en este periodo ( Teniendo en cuenta la observacion del II trimestre), sin embargo para este periodo se debe presenttar: "Trimestre IV - 34%
2. Informe de evalaución de las gestiones y/o acompañamiento adelantados.", el cual no se evidencia en la carpeta de evidencias del cuatro trimestre. Por lo anterior y al no cumplir con los criterios de evaluacion del trimestre la calificación es 0,5</t>
  </si>
  <si>
    <t>Se realizó reporte y se notifica a planeación del cargue de la matriz para el tercer trimestre: 1 informe de julio, agosto y septiembre reportado en octubre.</t>
  </si>
  <si>
    <t>PARA EL TERCER TRIMESTRE DE 2024, SE REALIZÓ EL REPORTE Y SE NOTIFICO A PLANEACIÓN VÍA CORREO DEL CARGUE DE LA MATRIZ EN EL SIGUIENTE LINK:https://dnbcgovco-my.sharepoint.com/:x:/g/personal/planeacion_dnbc_gov_co/EZFX49zCO-VKvOswOl8TxQgB9nbJn88TgZGN8gGRzq8w0A?e=FoR5fp</t>
  </si>
  <si>
    <t>Se evidencia reporte de matriz de riesgos</t>
  </si>
  <si>
    <t>Se realizó reporte y se notifica a planeación del cargue de la matriz IV cuatrimestre el 16 de Diciembre de 2024</t>
  </si>
  <si>
    <t>Se identifican las evidencias del cumplimiento de la meta</t>
  </si>
  <si>
    <t xml:space="preserve">Se realizó reporte y se notifica a planeación del cargue de la matriz II cuatrimestre el 5 de septiembre de 2024
</t>
  </si>
  <si>
    <t>SE ADJUNTA CORREO CON LA NOTIFICACIÓN DEL CARGUE Y DOCUMENTO EXCEL A PLANEACIÓN.</t>
  </si>
  <si>
    <t>Se evidencia reporte PAAC y matriz de riesgos de corrupción</t>
  </si>
  <si>
    <t>Se realiza reporte PAAC</t>
  </si>
  <si>
    <t>El resultado no está acorde con las actividades planteadas para el periodo, adicional no se encuentran cargadas las evidencias en la carpeta compartida</t>
  </si>
  <si>
    <t>Se realizó ajuste a los indicadores, donde se adicionaron 2 mas (1 inicialmente) y se remitio el acta de socialización y aprobación de los indicadores por parte del proceso de cooperación internacional al proceso de Gestión de Análisis y Mejora Continua el 2 de octubre de 2024</t>
  </si>
  <si>
    <t>De acuerdo al proceso de Gestión de Análisis y Mejora Continua, no se requiere reportar esta matriz, unicamente ADJUNTAR CORREO CON LA NOTIFICACIÓN DE LA SOCIALIZACIÓN Y APROBACIÓN DE LOS MISMOS</t>
  </si>
  <si>
    <t>Se evidencia trabajo realizado con el process de mejora c., frente a gestión de indicadores</t>
  </si>
  <si>
    <t>Se realizó ajuste a los indicadores del proceso y se remitio el acta de socialización y aprobación de los indicadores por parte del proceso de cooperación internacional al proceso de Gestión de Análisis y Mejora Continua el 2 de octubre de 2024</t>
  </si>
  <si>
    <t>SE ADJUNTA CORREO CON LA NOTIFICACIÓN DE LA SOCIALIZACIÓN Y APROBACIÓN DE LOS MISMOS. Se aclara que para los periodos pasados no se requirió actualización de documentos es esos periodos, sin embargo, para el III trimestre junto con el proceso de Gestión de Análisis y Mejora Continua se hizo la recomendación de revisar los indicadores, por consiguiente se ajustaron en este periodo.</t>
  </si>
  <si>
    <t>Para elperiodo no se tenia programado actividad que ejecutar, el proceso reporta actualización de fichas de indicadores, sin embrago trae rezago del periodo anterior, al final de la vigencia se evalua lo que avancen en documentación del sistema</t>
  </si>
  <si>
    <t>Teniendo en cuenta que no se habia programado revisión de documentacion, no se requirio presentar ajustes.</t>
  </si>
  <si>
    <t xml:space="preserve">Teniendo en cuenta que no se habia programado revisión de documentacion, no se requirio presentar ajustes. </t>
  </si>
  <si>
    <t>Se da por cumplida con la validación de la acción del trabajo realizado en las mesas de revisión de formatos y actualización de  hojas de vida de indicadores.</t>
  </si>
  <si>
    <t xml:space="preserve">Para el proceso de cooperación internacional y alianzas estratégicas no aplica este item ya que no tiene plan de mejora </t>
  </si>
  <si>
    <t>Se realizan los seguimientos sin novedad alguna</t>
  </si>
  <si>
    <t>Se realizan los seguimientos sin novedad alguna y se adjuntan actas (julio, agosto, sept).</t>
  </si>
  <si>
    <t>No se reportan evidencias de seguimiento a referentes estrategicos</t>
  </si>
  <si>
    <t>No se evidencia cargue de actas</t>
  </si>
  <si>
    <t>Sin evidencias</t>
  </si>
  <si>
    <t>5. Gestión de Atención al Ciudadano</t>
  </si>
  <si>
    <t>Subdirección Administrativa y Financiera</t>
  </si>
  <si>
    <t>Informes de análisis del desempeño de los canales de atención.</t>
  </si>
  <si>
    <t>Gestión con Valores para Resultados</t>
  </si>
  <si>
    <t>Servicio al Ciudadano</t>
  </si>
  <si>
    <t xml:space="preserve">Subdirector Administrativo y Financiero </t>
  </si>
  <si>
    <t>Infome mensual con análisis de desempeño de los canales de atención realizado</t>
  </si>
  <si>
    <t>No. De informes con análisis de desempeño realizados</t>
  </si>
  <si>
    <t xml:space="preserve">En el informe mensual de PQRSD se incuye el análisis de desempeño de los canales de atención.
Para el mes de enero de 2025 se remitira el informe de diciembre de 2024 y se remitiran 11 informes de manera mensual presentados de la vigencia 2024.
Informe DICIEMBRE:ABRIL
Informe ENERO:ABRIL
Informe FEBRERO:MAYO
Informe MARZO: MAYO
Informe ABRIL:JUNIO
Informe MAYO: JUNIO
Informe JUNIO:JULIO
Informe JULIO: AGOSTO
AGOSTO: SEPTIEMBRE
SEPTIEMBRE: OCTUBRE
OCTUBRE: NOVIEMBRE
NOVIEMBRE: DICIEMBRE
DICIEMBRE: ENERO
 en adelante, se realizan mes vencido. </t>
  </si>
  <si>
    <t>Durante el segundo trimestre del año en curso, se realizó el análisis de desempeño de los canales de atención realizado a través de los informes de PQRSD, correspondientes a los meses de abril, mayo y junio.</t>
  </si>
  <si>
    <t>Se evidencian los informes de abril y mayo de 6 propuestos en los criterios para el segundo trimestre</t>
  </si>
  <si>
    <r>
      <t>Durante el tercer trimestre del año en curso, se realizó el análisis de desempeño de los canales de atención realizado a través de los informes de PQRSD de los meses correspondientes a julio, a</t>
    </r>
    <r>
      <rPr>
        <sz val="11"/>
        <rFont val="Tahoma"/>
        <family val="2"/>
      </rPr>
      <t>gosto y septiembre.</t>
    </r>
  </si>
  <si>
    <t>Se evidencian los tres informes del periodo</t>
  </si>
  <si>
    <t xml:space="preserve">Durante el cuarto trimestre del año en curso, se realizó el análisis de desempeño de los canales de atención realizado a través de los informes de PQRSD correspondiente los de meses a octubre, noviembre y diciembre.
Los respectivos informes se compartieron a la oficina de TI para su respectiva publicación en la página web.Se adjuntan solicitudes. </t>
  </si>
  <si>
    <t>ACIVIDAD CUMPLIDA A UN 100%</t>
  </si>
  <si>
    <t xml:space="preserve">En las evidencias solo se encuentran los informes de octubre y noviembre,m se verifica que en el trimestre anterior se subio el informe del mes de septiembre, con esto se define que se cumploio con los criterios para el cumplimiento de la meta del periodo y anual. </t>
  </si>
  <si>
    <t>Capacitaciones para el fortalecimiento del recurso humano del proceso de gestión de atención al usuario</t>
  </si>
  <si>
    <t>Procesos de capacitación del personal del proceso recibidos</t>
  </si>
  <si>
    <t>(No. De de capacitaciones con participación del proceso recibidas/No. De  capacitaciones convocadas)*100</t>
  </si>
  <si>
    <t>Las capacitaciones estan sujetas a programacion del DAFP y del DNP, equipos transversales y aquellas que se consideren necesarias articular con el proceso de Mejora Continua
Listados de asistencia y material asociado a la capacitación</t>
  </si>
  <si>
    <t xml:space="preserve">Durnate el periodo de evaluación se recibio una (1) capacitación sobre Estrategia de servicio a las ciudadanías, durante el mes de marzo. </t>
  </si>
  <si>
    <t>No se cumple con la lista de asistencia, ni la evidencia corresponde a lo definido en los criterios de evaluación, solo anexan un print de you tube de una capacitación.</t>
  </si>
  <si>
    <t>Durante el II trimestre del año en curso, se recibieron capacitaciones por parte del DAFP  al grupo de atención al ciudadano. Las capacitaciones recibidas se realizaron en torno a los siguientes temas:
1.Lenguajes claros, comprensibles e incluyentes.
2. Caracterización y re-conocimiento de las ciudadanías diversas
3. Oficinas de relacionamiento Estado-ciudadanías.</t>
  </si>
  <si>
    <t xml:space="preserve">No se cumple con la lista de asistencia </t>
  </si>
  <si>
    <t>A través de los medios disponibles del DAFP (Facebook: https://www.facebook.com/FuncionPublica YouTube: https://www.youtube.com/@funcionpublicacol ), se asistió a la capacitación virtual, en donde se abordaron temas relacionados a los entornos laborales libres de violencias basadas en género y discriminaciones 27.09</t>
  </si>
  <si>
    <t>Se evidencia capacitacion video de You toube, pero no se evidencia personal del proceso que participó o tomo la capacitación</t>
  </si>
  <si>
    <t xml:space="preserve">A través de los medios disponibles del DAFP (Facebook: https://www.facebook.com/FuncionPublica YouTube: https://www.youtube.com/@funcionpublicacol), se asistió a la capacitación virtual, en donde se abordaron temas relacionados a 
• Formulación Estrategia Servicio a las Ciudadanías
• Acompañamiento Acciones Servicio a las Ciudadanías 
</t>
  </si>
  <si>
    <t>Informes del estado de las PQRSD gestionadas en la entidad</t>
  </si>
  <si>
    <t>Informes del estado de las PQRSD realizados</t>
  </si>
  <si>
    <t xml:space="preserve">No. De Informes del estado de PQRSD realizados </t>
  </si>
  <si>
    <t xml:space="preserve">Informes mensuales del estado de las  PQRSD presentados al lider del proceso.
Evidenciar la remisión mensual por correo electronico del formato de solicitud de publicacion en la web a TI.
Se encuentran pendientes  los informes de enero, febrero y marzo. Se solicita reprogramación de acuerdo con lo siguiente 
Informe DICIEMBRE 2023: ABRIL
Informe ENERO:ABRIL
Informe FEBRERO:MAYO
Informe MARZO: MAYO
Informe ABRIL:JUNIO
Informe MAYO: JUNIO
Informe JUNIO:JULIO
Informe JULIO: AGOSTO
Informe AGOSTO: SEPTIEMBRE
Informe SEPTIEMBRE: OCTUBRE
Informe OCTUBRE: NOVIEMBRE
Informe NOVIEMBRE: DICIEMBRE
Informe DICIEMBRE: ENERO 2025
 en adelante, se realizan mes vencido. </t>
  </si>
  <si>
    <t xml:space="preserve">
Durante el segundo trimestre del año en curso, se realizó el análisis de desempeño de los canales de atención realizado a través de los informes de PQRSD, correspondientes a los meses de abril, mayo y junio.</t>
  </si>
  <si>
    <t xml:space="preserve">No se evidencian los informes del mes de Diciembre 2023,Enero, Febrero y Marzo  </t>
  </si>
  <si>
    <t>Durante el tercer trimestre del año en curso, se analizó el estado de las PQRSD través de los informes de los meses correspondientes a julio, agosto y septiembre.</t>
  </si>
  <si>
    <t>SE evidencian los informes de los tres meses</t>
  </si>
  <si>
    <t xml:space="preserve"> Durante el cuarto trimestre del año en curso, se analizó el estado de las PQRSD través de los informes correspondientes a los meses de octubre, noviembre y diciembre.
Los respectivos informes se compartieron a la oficina de TI para su respectiva publicación en la página web.
</t>
  </si>
  <si>
    <t xml:space="preserve">En las evidencias solo se encuentran los informes de octubre y noviembre, se verifica que en el trimestre anterior se subio el informe del mes de septiembre, con esto se define que se cumploio con los criterios para el cumplimiento de la meta del periodo y anual. </t>
  </si>
  <si>
    <t xml:space="preserve"> Actividades informativas sobre la responsabilidad de los servidores públicos frente a los derechos de los ciudadanos. </t>
  </si>
  <si>
    <t>Acciones informativas sobre responsabilidad de los servidores públicos frente a los derechos de los ciudadanos realizadas</t>
  </si>
  <si>
    <t>No. De acciones informativas realizadas</t>
  </si>
  <si>
    <t>Las actividades pueden comprender charlas, campañas informativas, sensibilizaciones. Listados de asistencia y material asociado a la capacitación</t>
  </si>
  <si>
    <t>Durante el periodo de evaluación, se realizaron las siguientes acciones:
1. Divulgación del ABC que contiene información relacionada con la responsabilidad de los servidores públicos frente a los derechos de los ciudadanos realizadas
2. Charla de sensibilización sobre la responsabilidad de los servidores públicos frente a los derechos de los ciudadanos realizadas a 35  funcionarios y contratistas de 16 dependencias de la Entidad. 
3. Evaluaciones diligenciadas sobre la campaña realizada a los funcionarios y contratistas. 
4. Diseño de un folleto con información del procedimiento, protocolo, sensibilización a servidores publicos y lenguaje claro.</t>
  </si>
  <si>
    <t xml:space="preserve">Durante el periodo de evaluación, se realizaron las siguientes acciones:
1. Actualización folleto informativo.
2. Actualización y divulgación del ABC que contiene información relacionada con la responsabilidad de los servidores públicos frente a los derechos de los ciudadanos realizadas.
3. Sensibilización sobre la responsabilidad de los servidores públicos frente a los derechos de los ciudadanos.
4. Evaluación dependencias. 
</t>
  </si>
  <si>
    <t>Se evidencias acciones</t>
  </si>
  <si>
    <t xml:space="preserve">Acción realizada durante el I , II y II Itrimestre; sin embargo, el proceso de atención al ciudadano, durante el trimestre de evaluación, igualmente adelantó las siguientes acciones durante el IV trimestre, en relación a la presente actividad:
1. Capacitación realizada el día 21 de noviembre sobre la responsabilidad de los servidores públicos en torno a las PQRSD, por las dependencias de Atención al Ciudadano y Asuntos Disciplinarios., en donde se informa la repsonsabilidad de los servidores publicos de atender a los preceptos legales y constitucionales en torno al derecho fundamental de petición. 
2. Acompañamiento personalizado a 19 procesos como acción de sensibilización en torno a: las responsabilidades de los servidores públicos, conceptualización PQRSD, termino PQRSD, tramite interno de PQRSD y manejo adecuado sistema ORFEO.
</t>
  </si>
  <si>
    <t xml:space="preserve">Se reportan evidencias de la capacitacion con el GAU realizada en noviembre. Sin embargo esta actividad se cumplio en el primer y segundo trimestre del ao. Por lo cual no se reporta en el IV trimestre. </t>
  </si>
  <si>
    <t>Informe de análisis de percepción de la atención brindada por la DNBC a nuestras partes interesadas</t>
  </si>
  <si>
    <t>Informe con análisis de percepción de atención a nuestras partes interesadas realizados</t>
  </si>
  <si>
    <t>Se realizará un informe cuatrimestral de acuerdo con el PAAC 2024</t>
  </si>
  <si>
    <t>Durante el segundo trimestre del año en curso,  se realiza el I informe que evalúa la percepción de atención a nuestras partes interesadas.</t>
  </si>
  <si>
    <t>Durante el tercer trimestre del año en curso,  se realizó el II informe que evalúa la percepción de atención a nuestras partes interesadas.</t>
  </si>
  <si>
    <t>Se evdiencia ppt de informe</t>
  </si>
  <si>
    <t xml:space="preserve">Durante el tercer trimestre del año en curso, se realiza el III informe cuatrimestral que evalúa la percepción de atención a nuestras partes interesadas.
Se socializa a traves de correo electronico el infrome II  y III cuatrimestral de analisis a encuestas de las partes interesadas.
</t>
  </si>
  <si>
    <t>Capacitaciones sobre el trámite a las PQRSDF y OPAS en el sistema ORFEO</t>
  </si>
  <si>
    <t>Procesos institucionales capacitados en el sistema ORFEO</t>
  </si>
  <si>
    <t>No. De Procesos Capacitados</t>
  </si>
  <si>
    <t>Trimestre II: 9 
Trimestre III: 9  Se realizara una (1) capacitación a cada proceso en cada uno de los trimestres iindicados en la programación.
Listados de asistencia y material asociado a la capacitación</t>
  </si>
  <si>
    <t>Durante el segundo trimestre del año en curso,  se realizaron acompañamientos sobre el sistema ORFEO a 16  procesos.</t>
  </si>
  <si>
    <t>la evidencia no corresponde con rl producto formulado</t>
  </si>
  <si>
    <t xml:space="preserve">Durante el tercer trimestre del año en curso, se realizaron acompañamientos sobre el sistema ORFEO a los siguientes procesos: asuntos disciplinarios, planeación, mejora continua, administrativa, subdirección administrativa y financiera, educación bomberil, inspección, vigilancia y control, coordinación operativa, financiera, subdirección estratégica y tecnologías de la información.
Se anexa folleto informativo con paso a paso de las salidas de PQRSD dentro del sistema ORFEO y listado de asistencia con sus respectivas evaluaciones.
</t>
  </si>
  <si>
    <t>Se evidencia capacitación</t>
  </si>
  <si>
    <t>Acción realizada durante el I y II trimestre; sin embargo, durante el trimestre de evaluaciónel proceso de atención al ciudadano, realizo acompañamiento personalizado a 19 procesos como acción de sensibilización en torno a: las responsabilidades de los servidores públicos, conceptualización PQRSD, termino PQRSD, tramite interno de PQRSD y manejo adecuado sistema ORFEO.</t>
  </si>
  <si>
    <t xml:space="preserve">Debo revisar con la Dra Adriana, debido a que según lo reportado se debia cumplir en el II y III trimestre, sin embargo en el II trimestre no cumplio con los criterios por lo que su calificacion fue 0%, en el III si cumplio con el 100% del 50% establecida para ese periodo. Para el IV informa que ya cumplio la meta lo aul no es asi ya que lleva solo el 50% cumplido, y ademas en las evidencias anexan un listado de una sensibilizacion de GAU lo cual no cumple con los criterios de evaluación ya no que soporta el material de dicha actividad. </t>
  </si>
  <si>
    <t>Alertas de PQRSDF generadas e informadas</t>
  </si>
  <si>
    <t xml:space="preserve">22
</t>
  </si>
  <si>
    <t>Alertas de PQRSD generadas e informadas</t>
  </si>
  <si>
    <t>No. De alertas generadas e informadas</t>
  </si>
  <si>
    <t xml:space="preserve">Alertas quincenales generadas de la siguiente forma: 
Enero: 1
Febrero: 1
Marzo- Diciembre:20
Se notifica por correo electronico a los responsables de dar respuesta, directivos, gestores y/o líderes de proceso, supervisores donde se anexa la información de las PQRSDF vencidas, extemporaneas y en proceso en archivo Excel.
</t>
  </si>
  <si>
    <t>Se enviaron alertas del primer trimestre en 8 notificaciones realizadas por correo electrónico a todos los funcionarios y contratistas respobsables de atender las PQRSD.</t>
  </si>
  <si>
    <t>Durante el periodo de evaluación,  se realizaron 6 notificaciones de alertas a las dependencias responsables de birndar respuestas a las PQRSD.</t>
  </si>
  <si>
    <t>de acuerdo a la evidencia solo 2 informes corresponden alperiodo teniendo en cuenta los critrios definidos por el mismo proceso</t>
  </si>
  <si>
    <r>
      <t xml:space="preserve">Durante el periodo de evaluación, se realizaron </t>
    </r>
    <r>
      <rPr>
        <sz val="11"/>
        <rFont val="Tahoma"/>
        <family val="2"/>
      </rPr>
      <t>13</t>
    </r>
    <r>
      <rPr>
        <b/>
        <sz val="11"/>
        <color rgb="FFFF0000"/>
        <rFont val="Tahoma"/>
        <family val="2"/>
      </rPr>
      <t xml:space="preserve"> </t>
    </r>
    <r>
      <rPr>
        <sz val="11"/>
        <color theme="1"/>
        <rFont val="Tahoma"/>
        <family val="2"/>
      </rPr>
      <t>notificaciones a los correos de los responsables, líderes y gestores de las dependencias que tienen PQRSD vencidas, extemporáneas y en proceso, de los meses de julio, agosto y septiembre.</t>
    </r>
  </si>
  <si>
    <t>Evidencias de acciones de alertas generadas</t>
  </si>
  <si>
    <t>Durante el periodo de evaluación, se realizaron 22 notificaciones a los correos de los responsables, líderes y gestores de las dependencias que tienen PQRSD vencidas, extemporáneas y en proceso, de los meses de octubre, noviembre y diciembre.</t>
  </si>
  <si>
    <t>Reporte diligenciado . Se anexan las evidencias en el siguiente link:https://dnbcgovco-my.sharepoint.com/personal/planeacion_dnbc_gov_co/_layouts/15/onedrive.aspx?ga=1&amp;id=%2Fpersonal%2Fplaneacion%5Fdnbc%5Fgov%5Fco%2FDocuments%2FDocumentos%20SIGE%2F6%2E%20Planes%2FPLAN%20DE%20ACCION%2F2024%2FTRIMESTRE%20I%2FGAU%2FMAPA%20DE%20RIESGOS%20DE%20GESTI%C3%93N&amp;CT=1720457761631&amp;OR=OWA%2DNT%2DMail&amp;CID=d2b1ff16%2D3065%2D33e6%2D7519%2D852f19b8b080</t>
  </si>
  <si>
    <t xml:space="preserve">Reporte diligenciado. Se anexan evidencias en el siguiente link: 
https://dnbcgovco-my.sharepoint.com/personal/planeacion_dnbc_gov_co/_layouts/15/onedrive.aspx?ct=1727973433852&amp;or=OWA%2DNT%2DMail&amp;cid=9aad8fe0%2D5a25%2D2cfb%2D7a56%2D8f9cec037ba7&amp;ga=1&amp;id=%2Fpersonal%2Fplaneacion%5Fdnbc%5Fgov%5Fco%2FDocuments%2FDocumentos%20SIGE%2F6%2E%20Planes%2FPLAN%20DE%20ACCION%2F2024%2FTRIMESTRE%20III%2F5%2E%20Gesti%C3%B3n%20de%20Atenci%C3%B3n%20al%20Ciudadano%2FColumna%2080%2FMAPA%20RIESGOS%20DE%20GESTI%C3%93N
</t>
  </si>
  <si>
    <t>Se presenta reporte de riesgos</t>
  </si>
  <si>
    <t>Reporte diligenciado. Se anexan evidencias en el siguiente link: https://dnbcgovco-my.sharepoint.com/personal/planeacion_dnbc_gov_co/_layouts/15/onedrive.aspx?id=%2Fpersonal%2Fplaneacion%5Fdnbc%5Fgov%5Fco%2FDocuments%2FDocumentos%20SIGE%2F6%2E%20Planes%2FPLAN%20DE%20ACCION%2F2024%2FTRIMESTRE%20IV%2F5%2E%20Gesti%C3%B3n%20de%20Atenci%C3%B3n%20al%20Ciudadano%2FCOLUMNA%2077%2D%20RIESGOS%20GESTI%C3%93N&amp;sortField=LinkFilename&amp;isAscending=true&amp;ct=1733760362209&amp;or=OWA%2DNT%2DMail&amp;cid=0110ce58%2D54eb%2D01b7%2Df00b%2Df4cce0626474&amp;ga=1&amp;CT=1734358170310&amp;OR=OWA%2DNT%2DMail&amp;CID=9d342622%2D7ebd%2Df543%2D7ed7%2D9f6f02adfd2a</t>
  </si>
  <si>
    <t>Diligenciamiento Matriz Avance PAAC y Riesgos de Corrupción:
Cuatrimestre I: Reporte enero a abril  reportado el 2 dia habil de mayo 
Cuatrimestre II: Reporte mayo a agosto  reportado el 2 dia habil de septiembre
Cuatrimestres III: Reporte septiembre a diciembre  reportado el 20 diciembre</t>
  </si>
  <si>
    <t xml:space="preserve">El día 29/04/24, se reportó el PAAC correspondiente al I cuatrimestre del año en curso. </t>
  </si>
  <si>
    <t>presetaron plan de acción pero no mapa de riesgos de corrupción</t>
  </si>
  <si>
    <t xml:space="preserve">El día 03 de septiembre, se reportó el PAAC correspondiente al II cuatrimestre del año en curso. </t>
  </si>
  <si>
    <t>Se reporta PAAC segundo cuatrimestre</t>
  </si>
  <si>
    <t xml:space="preserve">El día 16 de diciembre, se reportó el PAAC correspondiente al III cuatrimestre del año en curso. 
Las acciones se reportaron en el siguiente link: https://dnbcgovco-my.sharepoint.com/personal/planeacion_dnbc_gov_co/_layouts/15/onedrive.aspx?id=%2Fpersonal%2Fplaneacion%5Fdnbc%5Fgov%5Fco%2FDocuments%2FDocumentos%20SIGE%2F6%2E%20Planes%2FPLAN%20ANTICORRUPCI%C3%93N%2F2024%2FCUATRIMESTRE%20III%2FGESTI%C3%93N%20ATENCI%C3%93N%20AL%20USUARIO%2FPAAC&amp;sortField=LinkFilename&amp;isAscending=true 
</t>
  </si>
  <si>
    <t>Durante el segundo trimestre del año en curso, se registraron los indicadores de los meses de evaluación, que miden la gestión del proceso.</t>
  </si>
  <si>
    <t xml:space="preserve">Durante el tercer trimestre del año en curso, se registraron los indicadores que miden la gestión del proceso. </t>
  </si>
  <si>
    <t>Se reporta trabajo de indicadores realizado</t>
  </si>
  <si>
    <t xml:space="preserve">Durante el cuarto trimestre del año en curso, se registraron los indicadores que miden la gestión del proceso. </t>
  </si>
  <si>
    <t>2. GESTIÓN TERRITORIAL</t>
  </si>
  <si>
    <t xml:space="preserve">Durante el periodo evaluado, se actualizó la Carta al trato digno. Asimismo la Politica de Atención al Ciudadano, la cual se encuentra en proceso de firmas por la dependencia de planeación estrategica. </t>
  </si>
  <si>
    <t>politica formalizada en SIGE y doc carta al trato digno presenrado en evidencias</t>
  </si>
  <si>
    <t xml:space="preserve">Durante el trimestre de evaluación se aprobó la Política de Atención al Ciudadano.   
La Carta al trato digno se aprobó el trimestre pasado.
</t>
  </si>
  <si>
    <t>Documento formalizado en sige</t>
  </si>
  <si>
    <t xml:space="preserve">Durante el tercer  trimestre   se aprobó y socializó la Política de Atención al Ciudadano.   
Asimismo, la Carta al trato digno se aprobó durante el II trimestre.
</t>
  </si>
  <si>
    <t>Se valida evidencia, además se da por cumplida con la validación de la acción del trabajo realizado en las mesas de revisión de formatos y actualización de  hojas de vida de indicadores.</t>
  </si>
  <si>
    <t>Avance al Plan de mejora de Gestión e  institucional (CGR) reportado</t>
  </si>
  <si>
    <t>Diligenciamiento matriz Plan de Mejoramiento de Gestión e Institucional (CGR) 
Plan deMejoramiento de Gestión: Reporte con corte al 30 de septiembre y entregado el 01 dia habil de octubre
Plan de Mejoramiento Institucional (CGR): Reporte con corte al 30 de junio y entregado 01 de habil de Julio.
Reporte con corte al 15 de diciembre y entregado el 18 de diciembre.
Carpeta con la evidencia de cumplimiento relacionado.</t>
  </si>
  <si>
    <t xml:space="preserve">Durante el trimestre de evaluación, se realizó segimiento a las actividades contenidas dentro del plan de mejoramiento del proceso. </t>
  </si>
  <si>
    <t xml:space="preserve">Se realizó seguimiento al plan de mejoramiento.   
Asimismo, se realizaron las acciones de mejora conforme a los hallazgos presentados del I informe semestral PQRSD de 2024.
Se anexa matriz con sus respectivas evidencias. 
</t>
  </si>
  <si>
    <t>Avance reportado PM</t>
  </si>
  <si>
    <t xml:space="preserve">Durante el trimestre de evaluación se realizaron las siguientes acciones en torno al Plan de Mejoramiento:   
1. Seguimiento al plan de mejoramiento el día 10 de octubre. 
2. Se realizaron las acciones de mejora conforme a los hallazgos presentados del I informe semestral PQRSD de 2024, el cual se envió el día 01 de octubre.
2. Se realizó seguimiento al IV trimestre en el siguiente linkK: https://dnbcgovco-my.sharepoint.com/personal/planeacion_dnbc_gov_co/_layouts/15/onedrive.aspx?id=%2Fpersonal%2Fplaneacion%5Fdnbc%5Fgov%5Fco%2FDocuments%2FDocumentos%20SIGE%2F6%2E%20Planes%2FPLAN%20DE%20ACCION%2F2024%2FTRIMESTRE%20IV%2F5%2E%20Gesti%C3%B3n%20de%20Atenci%C3%B3n%20al%20Ciudadano%2FCOLUMNA%2081%2FREPORTE%20IV%20TRIMESTRE&amp;sortField=LinkFilename&amp;isAscending=true&amp;ct=1733760362209&amp;or=OWA%2DNT%2DMail&amp;cid=0110ce58%2D54eb%2D01b7%2Df00b%2Df4cce0626474&amp;ga=1&amp;CT=1734360369181&amp;OR=OWA%2DNT%2DMail&amp;CID=68ee5ac6%2D50bf%2D317e%2De161%2D882d5f10f683
</t>
  </si>
  <si>
    <t>Se reporta PM</t>
  </si>
  <si>
    <t>1. UNIDAD BOMBERIL</t>
  </si>
  <si>
    <t>Durante el trimestre de evaluación, se diligenció el acta que hace seguimiento a los referentes estratégicos del proceso de atención al ciudadano.</t>
  </si>
  <si>
    <r>
      <t>Durante el trimestre de evaluación, se diligenció el acta que hace seguimiento a los referentes estratégicos de los meses de julio, agosto y</t>
    </r>
    <r>
      <rPr>
        <sz val="11"/>
        <rFont val="Tahoma"/>
        <family val="2"/>
      </rPr>
      <t xml:space="preserve"> septiembre.</t>
    </r>
  </si>
  <si>
    <t>Reportan actas de referentes estratégicos</t>
  </si>
  <si>
    <t xml:space="preserve">Durante el trimestre de evaluación, se diligenciaron las actas que hacen seguimiento a los referentes estratégicos de los planes institucionales de los meses de octubre, noviembre y diciembre.
</t>
  </si>
  <si>
    <t>Se evidencian actas de referentes</t>
  </si>
  <si>
    <t xml:space="preserve">Actividad sin ejecutar durante el trimestre de evaluación. Se reportará en el último trimestre del año. </t>
  </si>
  <si>
    <t>Actividad desarrollada durante el trimestre de evaluación.</t>
  </si>
  <si>
    <t>Se evidencia gestion</t>
  </si>
  <si>
    <t>2. Mejorar la prestación del servicio público esencial de Bomberos en el 100% del territorio nacional.</t>
  </si>
  <si>
    <t>2.1.Acompañar a las instituciones bomberiles en el manejo de la gestión territorial, propendiendo por garantizar la articulación de acciones de desarrollo sostenible en los territorios en el marco de la gestión del riesgo.​</t>
  </si>
  <si>
    <t xml:space="preserve"> 6. Formulación, actualización y acompañamiento Normativo y OPERATIVO</t>
  </si>
  <si>
    <t>Subdirección Estratégica y de Coordinación Bomberil</t>
  </si>
  <si>
    <t>Asesorar y acompañar a las Autoridades territoriales en la creación de Cuerpos de Bomberos para cumplir la prestación del servicio público esencial de bomberos.</t>
  </si>
  <si>
    <t>Subdirector Estratégico y de Coordinación Bomberil</t>
  </si>
  <si>
    <t>Asesorías y acompañamientos a las autoridades territoriales realizados para la creación de CB</t>
  </si>
  <si>
    <t>(No. De asesoría y acompañamientos realizados a la autoridades territoriales/No. Total de Asesoría y acompañamiento programados)*100</t>
  </si>
  <si>
    <t xml:space="preserve">
* II Trimestre: Envío de la totalidad de Comunicaciones de acuerdo con la información generada por el RUE(municipios sin Cuerpos de Bomberos creado). Comunicaciones a la totalidad de los municipios propuestos de acuerdo al cálculo asociado a reporte de RUE, fomato con la relación de las comunicaciones gestionadas.
III y IV Trimestre: Proceso de asesoría y acompañamiento de acuerdo a las solicitudes de los entes territoriales. Evidencia virtual y/o presencial de asesorías (listas de asistencia y/o comunicaciones escritas,  material asociado)</t>
  </si>
  <si>
    <t xml:space="preserve">Se proyectaron 209 oficios para creación de cuerpos de bomberos, sin embargo estos no se han enviado debido a el personal del proceso se contrató en mayo, además de demoras en la revisión y firma desde la Alta Dirección. 
</t>
  </si>
  <si>
    <t xml:space="preserve">El personal encargado fue contratado en mayo y desde la Alta Dirección se han presentado demoras administrativas pese a que 209 oficios están proyectados </t>
  </si>
  <si>
    <t>Se evidencia documentos se encuentra en Word sin firmas correspondientes</t>
  </si>
  <si>
    <t>El indicador se hace sobre el siguiente cálculo: 264/300, correspondiente los oficios enviados sobre los proyectados en materia de creación de cuerpos de bomberos</t>
  </si>
  <si>
    <t>Para el periodo se debió avanzar en la asesoria a los CB acorde con las comunicaciones remitidas, solo se reporta el envio de los oficios previstos para el primer semestre, viene en rezago , es decir que el avance acumulado a la fecha es del 50%. De otra parte de acuerdo con la tabla de evidencias se observa que hubo comunicaciones remitidas con posterioridad al corte del tercer trimestre.</t>
  </si>
  <si>
    <t>Se enviaron 287 oficios de 287 planeados, se modificó la meta debido a que se evidenció que se había establecido erroneamente dado que habían municipios duplicados, pero realizando un nuevo cruce de información se pudo establecer que los municipios sin cuerpo de bomberos son 287, de los cuales a la totalidad se le enviaron los oficios.</t>
  </si>
  <si>
    <t>Se requiere que la contratación del personal se haga prioritariamente para alcanzar las metas proyectadas en cada vigencia de acuerdo a lo planeado. Se reportan los 287 oficios junto con la base de datos.</t>
  </si>
  <si>
    <t>Al verificar las avidencias se identifica que se encuentran cargados 277 Oficios y un excel con la relacion de 288 oficios de salida lo caul no condcide con lo informado en ela columna de analisis de resultado del indicador. Ademas no cuentan con los criterios de evaluación ya que para el IV Trimestre se deben presentar evidencias en el procesos sobre: Proceso de asesoría y acompañamiento de acuerdo a las solicitudes de los entes territoriales. Evidencia virtual y/o presencial de asesorías (listas de asistencia y/o comunicaciones escritas,  material asociado). Por lo anterior su calificación es 0,5 sobre el % de la meta que se debe cumpli en el periodo</t>
  </si>
  <si>
    <t>Comunicaciones respuesta a las Peticiones, Quejas, Reclamos, Solicitudes y/o Denuncias asignadas al Proceso.</t>
  </si>
  <si>
    <t>PQRSD gestionadas</t>
  </si>
  <si>
    <t>(No. De Pqrsd gestionadas/No. Total de Pqrsd asignadas)*100</t>
  </si>
  <si>
    <t>Evidencia de pqrsd respondidas en el periodo de acuerdo con las asignaciones realizadas. Registro matriz de asignación proceso.
El corte para el reporte al plan de acción se realizará con 20 días de antelación a finalizar trimestre</t>
  </si>
  <si>
    <t>Se han atendido 146 PQRSD de las 217 que han sido asignadas al proceso, de las cuales 59 no han requerido respuesta.</t>
  </si>
  <si>
    <t xml:space="preserve">Durante el primer trimestre no existió personal asociado al proceso por lo que existió un alto represamiento de las PQRS asignadas. </t>
  </si>
  <si>
    <t xml:space="preserve">No se evidencia respuesta de 12 pqrsd asignadas y la mayoria son gestionadas durante el segundo trimestre </t>
  </si>
  <si>
    <t>Se han atendido 157 PQRSD de las 204 que han sido asignadas al proceso, de las cuales 48 no han requerido respuesta.</t>
  </si>
  <si>
    <t xml:space="preserve">El personal fue contratado en el mes de abril, por lo que para ese momento se tuvo que empezar a depurar lo que se encontraba represado del trimestre anterior, lo que ha generado retrasos en la atención de las peticiones asignadas posteriormente. </t>
  </si>
  <si>
    <t xml:space="preserve">No se evidencia respuesta de 15 pqrsd asignadas </t>
  </si>
  <si>
    <t>El indicador se hace sobre el siguiente cálculo: 111/132, siendo que de las 21 peticiones sin atender una de ellas aún se encuentra dentro del térmio legal.</t>
  </si>
  <si>
    <t>Se evidencia tabla de asignación de las PQRSD</t>
  </si>
  <si>
    <t>De 143 PQRSD asignadas con corte al 19 de noviembre se dio trámite a 132.</t>
  </si>
  <si>
    <t>Se remite en PDF la hoja correspondiente del Formato de Asignación.</t>
  </si>
  <si>
    <t xml:space="preserve">Las evidencias cumplen con los criterios establecidos para el cumplimiento de la Meta en el periodo. Su calificacion de cumplimiento es del 92% sobre el 100% de lo establecido por la meta para este periodo. Ya que las asigandas fueron 143 y se les dio tramite a 132. </t>
  </si>
  <si>
    <t xml:space="preserve">1. Fortalecer la equidad e integración en las instituciones de Bomberos del país. </t>
  </si>
  <si>
    <t>1.3.Generar lineamientos integrales y articulados para la prestación del servicio público esencial de Bomberos en el país, coadyuvando a fortalecer la confianza entre nuestras partes interesadas.​</t>
  </si>
  <si>
    <t>Lineamientos y disposiciones normativas en asuntos relacionados con la actividad bomberil</t>
  </si>
  <si>
    <t>Lineamientos en materia bomberil generados por el proceso</t>
  </si>
  <si>
    <t>(No. De Lineamientos realizados/No. De Lineamientos requeridos)*100</t>
  </si>
  <si>
    <t>Circulares y Resoluciones emitidas en relación con la actividad bomberil (evidencia)</t>
  </si>
  <si>
    <t>Se emitieron 8 circulares en relación con la actividad bomberil</t>
  </si>
  <si>
    <t xml:space="preserve">No se evidencia la firma correspondiente en 4 circulares </t>
  </si>
  <si>
    <t>Se emitieron 4 circulares en relación con la actividad bomberil</t>
  </si>
  <si>
    <t xml:space="preserve">No se evidencia firma correspondiente en una circular </t>
  </si>
  <si>
    <t>Se proyectó un circular solicitada</t>
  </si>
  <si>
    <t xml:space="preserve">Indicador por demanda </t>
  </si>
  <si>
    <t>Se evidencia circular formalmente suscrita por la Directora</t>
  </si>
  <si>
    <t>Se proyectarón 2 circulares</t>
  </si>
  <si>
    <t>Se remiten los documentos firmados</t>
  </si>
  <si>
    <t xml:space="preserve">En la revisión de la evidencias se identifica que la circular No. 2024-211-002983-1 no se encuentra firmada. De este modo no cuenta con los criterios de evaluación. Por lo anterior se da calificación de 0,05 sobre el 100% de los establecido para el cumplimiento de la meta en el periodo </t>
  </si>
  <si>
    <t>Acompañamientos del Ministerio Público (Procuraduría General de la Nación ) para llevar a cabo mesas de trabajo para el fortalecimiento de los Cuerpos de Bomberos</t>
  </si>
  <si>
    <t>Gestiones con  Ministerio Público (Procuraduría General de la Nación ) y/o DNBC  realizadas</t>
  </si>
  <si>
    <t>(No. De gestiones realizadas/No. De gestiones requeridas)*100</t>
  </si>
  <si>
    <t>Requerimiento de la Procuraduría y/o Dirección Nacional de Bomberos,
 Actas de visita y/o reunión con listado de asistencia, y/o comunicaciones,  material asociado.</t>
  </si>
  <si>
    <t xml:space="preserve">Desde el proceso de FANO no se ha realizado. </t>
  </si>
  <si>
    <t>Las reuniones y temas relacionados los ha asumido la Alta Dirección por lo que no se ha delegado a FANO la realización de los requerimiento y acercamientos correspondientes</t>
  </si>
  <si>
    <t>Se asistió a una reunión citada por la Procuraduría General de la Nación</t>
  </si>
  <si>
    <t xml:space="preserve">Se anexan fotografías del evento así como la invitación enviada por la Procuraduría General de la Nación. </t>
  </si>
  <si>
    <t>Se evidencia comunicación dela procuraduría para visita a Vichada, se anexa registro fotográfico</t>
  </si>
  <si>
    <t xml:space="preserve">Por medio del radicado 2024-250-003100-1 se invitó  al Ministerio Público al Encuentro Regional de Comandantes. </t>
  </si>
  <si>
    <t xml:space="preserve">Se remite copia del oficio enviado. </t>
  </si>
  <si>
    <t xml:space="preserve">Al revisar las evidencias se identifica la invitacion por parte de la Dirección Nacional de Bomberos, sin embargo no se evidencia material de la asistencia ni del evento los cual se requiere para cumplir con los criterios de evaluación en el cumplimiento de la meta para este periodo. Por lo anterior se da una calificacion del 30% sobre el 100% del cumplimiento de la meta. </t>
  </si>
  <si>
    <t>Asesorias presenciales, telefónicas y/o virtuales a las  unidades bomberiles, comandantes, entidades territoriales, órganos de control y ciudadanía en materia jurídica.</t>
  </si>
  <si>
    <t xml:space="preserve"> Asesorías realizadas</t>
  </si>
  <si>
    <t>(No. De asesorias realizadas/No. De asesorias requeridas)*100</t>
  </si>
  <si>
    <t>Formato control de asesorias presenciales, telefónica y/o virtuales</t>
  </si>
  <si>
    <t>En el formato de control de asesorías se evidencian 348 asesorias cumpliendo así con la meta</t>
  </si>
  <si>
    <t xml:space="preserve">El resultado es acorde a lo requerido </t>
  </si>
  <si>
    <t>En el formato de control de asesorías se evidencian 85 asesorias cumpliendo así con la meta</t>
  </si>
  <si>
    <t>Se realizaron 3 asesorías solicitadas en comisiones.</t>
  </si>
  <si>
    <t xml:space="preserve">Se remite en PDF la hoja correspondiente del Formato de Asignación. </t>
  </si>
  <si>
    <t>Se evidencian 3 asesorias por parte del proceso en un trimestre. Se recomienda tener en cuenta para el producto la totalidad de la gestión realizada por el equipo de trabajo, dado que acorde con la caracterización del proceso el acompañamiento jurídico en la base del mismo, denortando que el reporte es mínimo frente a lo que se intuye gestiona el proceso en un periodo.</t>
  </si>
  <si>
    <t>Se asisitieron a 11 comisiones.</t>
  </si>
  <si>
    <t xml:space="preserve">Se da cumplimiento a lo establecido en los criterios de evaluación para el cumplimiento de la meta en el periodo. </t>
  </si>
  <si>
    <t xml:space="preserve">Se diligenció la matriz de riesgos. </t>
  </si>
  <si>
    <t xml:space="preserve">Se cumplió con la meta </t>
  </si>
  <si>
    <t>Se realizó el reporte.</t>
  </si>
  <si>
    <t xml:space="preserve">Junto con el reporte del trimestre se envió el 24 de septiembre un correo solicitando la modificación de uno de los controles. </t>
  </si>
  <si>
    <t>Se evidencia reporte de riesgos del proceso</t>
  </si>
  <si>
    <t>Se diligenció la matriz de riesgos</t>
  </si>
  <si>
    <t>Se reporta matriz de riesgos en el link</t>
  </si>
  <si>
    <t>Se envió el 30 de abril</t>
  </si>
  <si>
    <t>Se reporto</t>
  </si>
  <si>
    <t xml:space="preserve">Se realizó el reporte el 3 de septiembre de 2024. </t>
  </si>
  <si>
    <t>Se realizó reporte de PAAC Y Riesgos de corrupción</t>
  </si>
  <si>
    <t>Se realizó el reporte</t>
  </si>
  <si>
    <t>Se remite reporte de seguimiento en el link</t>
  </si>
  <si>
    <t>Se reportaron los indicadores correspondientes al primer semestre</t>
  </si>
  <si>
    <t>Se trabajó con la oficina de Planeación en la evaluación y modificación de los indicadores del proceso.</t>
  </si>
  <si>
    <t xml:space="preserve">Se remite la nueva propuesta estudiada con la oficina de Planeación junto con la socialización de los indicadores con el equipo de trabajo. </t>
  </si>
  <si>
    <t>Se trabajo Indicadores con Mejora Continua</t>
  </si>
  <si>
    <t>Se remite reporte en el link</t>
  </si>
  <si>
    <t>Ronny Romero</t>
  </si>
  <si>
    <t>Se solicitó la modificación de la fecha para la modificación del procedimiento de FANO. Correo enviado el día 12 de junio de 2024</t>
  </si>
  <si>
    <t>Se aprueba modificacion</t>
  </si>
  <si>
    <t>No se actualizaron documentos</t>
  </si>
  <si>
    <t>c</t>
  </si>
  <si>
    <t>El proceso no tiene asignado Plan de mejoramiento</t>
  </si>
  <si>
    <t>El proceso no tiene plan de mejoramiento</t>
  </si>
  <si>
    <t>Se levantó el acta.</t>
  </si>
  <si>
    <t>Se remiten 3 actas de referentes estratégicos</t>
  </si>
  <si>
    <t>Se remiten actas de referentes estratégicos</t>
  </si>
  <si>
    <t>las evidencias no corresponden a las actas de refrentes</t>
  </si>
  <si>
    <t>Se subió la documentación generada por el proceso durante el año al OneDrive</t>
  </si>
  <si>
    <t>Se evidencia correo de transferencia</t>
  </si>
  <si>
    <t>1.1.Contribuir a mejorar la capacidad técnica, administrativa y operativa de los Cuerpos de Bomberos del país, para ser más efectiva su respuesta.​</t>
  </si>
  <si>
    <t xml:space="preserve"> 7. Coordinación Operativa</t>
  </si>
  <si>
    <t>Capacitación a los cuerpos de bomberos en la plataforma RUE ( Modulo de emergencias, reportes y base de datos)</t>
  </si>
  <si>
    <t>No. Capacitaciones relaizadas</t>
  </si>
  <si>
    <t>(Capacitaciones relaizadas/capacitaciones programadas)*100</t>
  </si>
  <si>
    <t>Listas de asistencias y/o correo de citación y/o material asociado</t>
  </si>
  <si>
    <t>Esta actividad se tiene programada para ejecucion en el segundo trimestre</t>
  </si>
  <si>
    <t xml:space="preserve">Se realizaron 98 capacitaciones del RUe a los cuerpos de bomberos </t>
  </si>
  <si>
    <t>Se cumple con la meta establecida</t>
  </si>
  <si>
    <t>El resultado no está acorde con la actividad propuesta teniendo en cuenta que las evidencias que aporta el proceso no dan soporte a las capacitaciones que indican haber realizado, solo adjuntan un excel con un listado de personas y sus datos personales, pero no hay más información, Se requiere a fin de no afectar la calificación que se demuestre en el siguiente periodo que se llevaron a cabo esas capacitaciones de acuerdo con los criterios definidos por el mismo proceso para evaluar.</t>
  </si>
  <si>
    <t xml:space="preserve">Se realizaron 20  capacitaciones a los cuerpos de bombero en el uso y apropiacion  del RUE. </t>
  </si>
  <si>
    <t xml:space="preserve">se cumple con la meta establecida </t>
  </si>
  <si>
    <t>Se verifica listado en excel de los CB capacitados</t>
  </si>
  <si>
    <t xml:space="preserve">Se realizaron 14 capacitaciones a los cuerpos de bombero en el uso y apropiacion  del RUE. </t>
  </si>
  <si>
    <t xml:space="preserve">Se cumplio con la meta propuesta </t>
  </si>
  <si>
    <t xml:space="preserve">Al realizar la verificicacion de las evidencias se identifica que para el mes de Octubre se capacitaron 8 Cuerpos de Bomberos, Para el mes de noviembre se capacitaron 2 cuerpos de bomberos, y para el mes de Diciembre 2 cuerpos de Bomberos para un total de 12 Cuerpos de B0mberos capacitados. Sin embargo se soporta la evidencia con el listado de los cuerpos de bomberos capacitados cumpliendo con los criterios establecidos para la evaluación. </t>
  </si>
  <si>
    <t xml:space="preserve">Reporte de Emergencias  </t>
  </si>
  <si>
    <t xml:space="preserve">No. De reportes de emergencias realizados </t>
  </si>
  <si>
    <t>(Reportes de emergencias Realizados /Reportes de emergencias programados)*100</t>
  </si>
  <si>
    <t>Numero</t>
  </si>
  <si>
    <t xml:space="preserve">Reportes diarios de emergencias </t>
  </si>
  <si>
    <t>21 reportes realizados en el primer trimestre de la vigencia 2024</t>
  </si>
  <si>
    <t>Se realizaron 91 reportres diarios durante el segundo trimestre de la vigencia 2024</t>
  </si>
  <si>
    <t>El resultado está acorde con la actividad presupuestada para este periodo, sin embargo se evidencia que cargaron en las evidencias 131 reportes de emergencias cuando en el peridio de acuerdo a los presupuestado en porceentaje eran 91</t>
  </si>
  <si>
    <t xml:space="preserve">Se realizaron 92 reportes diarios de emergencias </t>
  </si>
  <si>
    <t>Se verifican reportes del trimestre</t>
  </si>
  <si>
    <t>Se realizaron 76 reportes diarios de emergencias con corte a 16 de Diciembre</t>
  </si>
  <si>
    <t xml:space="preserve">Cumplimiento de la meta establecida para el periodo, según los criterios de evaluación evidenciados en los soportes. </t>
  </si>
  <si>
    <t>Informes estadísticos de coordinación operativa Bomberos Colombia a la alta dirección: Reporte de emergencias y articulación SNGRD</t>
  </si>
  <si>
    <t>Informes estadísticos de coordinación operativa Bomberos Colombia a la alta dirección elaborados</t>
  </si>
  <si>
    <t>(No. De informes de reporte realizados / No. De informes programados)*100</t>
  </si>
  <si>
    <t>Se realizaron 3 informes estadisticos para la alta direccion</t>
  </si>
  <si>
    <t>Dentro del resultado reportado el proceso indica que realizaron 3 informes estadísticos pero solo se evidiencia solo  uno en la carpeta compartida</t>
  </si>
  <si>
    <t xml:space="preserve">Se realizaron 3 informes estadisticos para la alta direccion correspondientes al mes de Abril, ,Mayo, Junio </t>
  </si>
  <si>
    <t xml:space="preserve">Se realizaron 15 informe estadisticos presentados a la alta direccion </t>
  </si>
  <si>
    <t>Se verifican 15 informes del periodo evaluado</t>
  </si>
  <si>
    <t>Se realizaron 15 informe estadisticos presentados a la alta direccion correspondientes a los meses de octubre, noviembre, diciembre</t>
  </si>
  <si>
    <t>Actualización de la base de datos de cuerpo de Bomberos</t>
  </si>
  <si>
    <t>Base de datos  Cuerpos de Bomberos  actualizadas en la plataforma RUE</t>
  </si>
  <si>
    <t>(No. De bases de datos actualizadas / No. bases de datos programados)*100</t>
  </si>
  <si>
    <t>Se presentará base de datos semestral actualizada la cual se envia via correo electronico al Proceso de Gestion TI</t>
  </si>
  <si>
    <t xml:space="preserve">Se reporta base de datos actualizada  </t>
  </si>
  <si>
    <t>El resultado no está acorde con la actividad propuesta teniendo en cuenta que dentro de las actividad se estipula que la base de datos debe ser enviada a TI y no esta cargada la evidencia de dicho proceso</t>
  </si>
  <si>
    <t xml:space="preserve">No aplica para este periodo </t>
  </si>
  <si>
    <t xml:space="preserve">la segunda base de datos sera reportada en el seguno semestre como se  indica </t>
  </si>
  <si>
    <t xml:space="preserve">se reportaron 3 bases de datos con actualizacion para este periodo </t>
  </si>
  <si>
    <t xml:space="preserve">Se evidencian tres bases de datos correspondientes a los meses de Octubre, Noviembre y Diciembre, con la información de los cuerpos de bomberos. Sin embargo no se encuentra evidencia del envio al area de TI asi como el cargue de dicha información. Por lo anterior su calificación es del 50% del 100% establecido para la meta de este periodo. </t>
  </si>
  <si>
    <t>Boletines de Alertas Tempranas</t>
  </si>
  <si>
    <t xml:space="preserve">Boletines de alertas tempranas elaborados </t>
  </si>
  <si>
    <t>(No.de boletines elaborados/No. De Boletines programados elaborar)*100</t>
  </si>
  <si>
    <t xml:space="preserve">Boletin de Alerta Temprana firmado el cual se comparte a Delegados y Coordinadores de Bomberos </t>
  </si>
  <si>
    <t>.</t>
  </si>
  <si>
    <t>Durante el primer trimestre no se emitieron boletines de alertas tempranas</t>
  </si>
  <si>
    <t>El resultado no está acorde con lo proyectado teniendo en cuenta que no hay evidencia de que no hubo alertas tempranas o en su defecto si las hubo pero no se emtiieron los respectivos boletines</t>
  </si>
  <si>
    <t xml:space="preserve">Se emitieron 23 Boletines de Alerta temprana </t>
  </si>
  <si>
    <t>Se emitieron 32 boletines de alerta Temprana</t>
  </si>
  <si>
    <t>Se verifican 32 alertas tempranas realizadas</t>
  </si>
  <si>
    <t>Se emitieron 77 boletines de alerta Temprana Periodo de Octubre, Noviembre, Diciembre.</t>
  </si>
  <si>
    <t xml:space="preserve">Al revisar las evidencias se identifica que los primeros 12 reportes son del mes de septiembre, y los otros 65 pertenecen a los meses de Octubre, noviembre y Diciembre. Además no se encuentran firmadas auqnue informa que el original si esta firmado. Por lo anterior se da calificación del 48%sobre el 100% para el cumplimiento de la meta del periodo. </t>
  </si>
  <si>
    <t xml:space="preserve">Circulares Operativas </t>
  </si>
  <si>
    <t>Circulares Operativas elaboradas</t>
  </si>
  <si>
    <t>(No. De circulares Operativa elaborada/No cilculares operativas programadas)*100</t>
  </si>
  <si>
    <t xml:space="preserve">Circulares Operativas elaboradas por el Proceso de Coordinacion Operativa
</t>
  </si>
  <si>
    <t xml:space="preserve">Se emitieron 2 circulares </t>
  </si>
  <si>
    <t xml:space="preserve">Se emitieron 3 circulares </t>
  </si>
  <si>
    <t>Se emitieron 3 circulares</t>
  </si>
  <si>
    <t>Se evidencian 3 circulares operativas</t>
  </si>
  <si>
    <t>Se emitieron 8 circulares</t>
  </si>
  <si>
    <t xml:space="preserve">Se envidencia el cargue de 8 documentos : 4 circulares y 4 formatos de solicitud de publiucacion de las circulares. Sin embargo cumple con los criterios establecidos para el cumplimiento de la Meta para el periodo. Debe ajustarse que son 4 circulares no 8. </t>
  </si>
  <si>
    <t>Planes de contingencia de temporadas de variabilidad climática</t>
  </si>
  <si>
    <t>Planes de Contingencia  elaborados</t>
  </si>
  <si>
    <t xml:space="preserve"> N° de planes de contingencia Elaborados </t>
  </si>
  <si>
    <t xml:space="preserve">I Semestre: I Plan de contigencia de acuerdo a la necesidad. Ejemplo lluvias, Nevados, Huracanes,menos lluvias,etc
II Semestre  II: II Plan de contigencia de acuerdo a la necesidad. Ejemplo lluvias, Nevados, Huracanes,menos lluvias,etc.
</t>
  </si>
  <si>
    <t xml:space="preserve">se emitio plan de cotingencia de la primera temporada de  lluvias </t>
  </si>
  <si>
    <t xml:space="preserve">El segundo plan de contingencia sera reportado en el segundo semestre según lo programado </t>
  </si>
  <si>
    <t xml:space="preserve">Se Emitio 1 plan de contingencia de la temporada de meno lluvias </t>
  </si>
  <si>
    <t xml:space="preserve">Se cumplio con la meta propuesta, el documento s encuentra n construccion debido a los inconvenientes de actualizacion de la plataforma RUE, La cual genera las estadisticas  </t>
  </si>
  <si>
    <t xml:space="preserve">Se cumplio la meta según lo establecido en los criterios de evaluación. </t>
  </si>
  <si>
    <t>Gestionar la activación y movilización de apoyos terrestres complementarios para la respuesta</t>
  </si>
  <si>
    <t>Activaciones y Apoyos gestionados</t>
  </si>
  <si>
    <t>(N° de activaciones de apoyos terrestres gestionadas / N° de activaciones  de apoyos terrestres solicitadas)*100</t>
  </si>
  <si>
    <t>Documento de Solicitud de Apoyos o Movilizacion terrestre.</t>
  </si>
  <si>
    <t xml:space="preserve">Se emitiron 50 solicitudes de apoyos terrestres </t>
  </si>
  <si>
    <t xml:space="preserve">se emitieron 14 solicitudes terrestres </t>
  </si>
  <si>
    <t>Se tramitaron  93 Solicitudes de Activaciones Terrestres y Aereas solicitadas por los cuerpos de bomberos</t>
  </si>
  <si>
    <t>Se verifican los apoyos del trimestre</t>
  </si>
  <si>
    <t>Se tramitaron  6 Solicitudes de Activaciones Terrestrs y Aereas solicitadas por los cuerpos de bomberos</t>
  </si>
  <si>
    <t>Informes de Asistencia técnica en respuesta a emergencias</t>
  </si>
  <si>
    <t>Informes de Asistencia técnica en respuesta a emergencias elaborados</t>
  </si>
  <si>
    <t>(No. de informes técnicos elaborados)/No. de informes solicitados)*100</t>
  </si>
  <si>
    <t>Se emitio 1 Informe en el mes de Marzo del 2024</t>
  </si>
  <si>
    <t>Se evidencia informe incidente remoci+on en masa Chocó</t>
  </si>
  <si>
    <t xml:space="preserve">Se emitieron 16 informes de alta direccion segun emergencias presentadas e informacion solicitada </t>
  </si>
  <si>
    <t>El resultado no está acorde con la actividad propuesta teniendo en cuenta que reportan que fueron 16 informes pero se evidencian 7 informes y un excel</t>
  </si>
  <si>
    <t xml:space="preserve">Se emitieron 3 Informes de asistencia tecnica en  respuesta a emergencias y Matriz de seguimiento a Mesas de trabajo </t>
  </si>
  <si>
    <t>Se verifican 3 informes de asistencia técnica con enlace en la UNGRD</t>
  </si>
  <si>
    <t>Se emitieron 3 Informes de asistencia tecnica en  respuesta a emergencias</t>
  </si>
  <si>
    <t xml:space="preserve">Las evidencias no soportan lo solicitado en los criterios de evaluación ya que se plantea que es la presentacion de: Informe de de Asistencia Técnica, y lo entregado fueron imágenes de pantallazos con información. Por lo anterior se da calificación de 15% sobre el 100% de los requerido para cumplir la meta. </t>
  </si>
  <si>
    <t xml:space="preserve">Se realiza el seguimiento a los riesgos del proceso </t>
  </si>
  <si>
    <t xml:space="preserve">Se reportan riesgos de Gestion del area </t>
  </si>
  <si>
    <t>Reportó Riesgos</t>
  </si>
  <si>
    <t>No registran reporte acorde con el informe de monitoreo</t>
  </si>
  <si>
    <t>Se realiza el monitoreo del primer cuatrimestre</t>
  </si>
  <si>
    <t xml:space="preserve">No se reporta en este periodo, se debe reportar para el ultimo cuatrimestre el 20 de Diciembre según criterio de evaluacion </t>
  </si>
  <si>
    <t xml:space="preserve">El proceso reporto en septiembre </t>
  </si>
  <si>
    <t>Se realiza el monitoreo del tercer  cuatrimestre</t>
  </si>
  <si>
    <t>Se avanza enmesas de revisió y validación conMejora Continua</t>
  </si>
  <si>
    <t>Se realiza el monitoreo del tercer cuatrimestre</t>
  </si>
  <si>
    <t>SALA SITUACIONAL</t>
  </si>
  <si>
    <t xml:space="preserve"> MANUAL DE USO Y APROPIACIÓN DE LA PLATAFORMA RUE- REGISTRO UNICO ESTADISTICO</t>
  </si>
  <si>
    <t xml:space="preserve">El resultado no está acorde con la actividad propuesta teniendo en cuenta que el manual que adjuntan no se encuentra firmado </t>
  </si>
  <si>
    <t xml:space="preserve">manual de uso y apropiacion del Rue en  Actualizacion </t>
  </si>
  <si>
    <t xml:space="preserve">El instuctivo de Uso y apropiacion del Rue se encuentra en Actualizacion realizando mesas de trabajo para su posterior  revision y firma </t>
  </si>
  <si>
    <t>No se ha formalizado</t>
  </si>
  <si>
    <t xml:space="preserve">  MANUAL DE USO Y APROPIACIÓN DE LA PLATAFORMA RUE- REGISTRO UNICO ESTADISTICO</t>
  </si>
  <si>
    <t xml:space="preserve">SE envia avance de los manuales aun en construcción. </t>
  </si>
  <si>
    <t>No se culmino el proceso. Se da por cumplida con la validación de la acción del trabajo realizado en las mesas de revisión de formatos y actualización de  hojas de vida de indicadores.</t>
  </si>
  <si>
    <t>El proceso de coordinacion operativa no tiene Plan de Mejoramiento</t>
  </si>
  <si>
    <t>Reportan Plan de mejora procesos</t>
  </si>
  <si>
    <t xml:space="preserve">Se realizo acta en el mes de Mayo en donde se realizo verificacion a plan de accion, riesgo de gestion PAAC indicadores </t>
  </si>
  <si>
    <t xml:space="preserve">Se emitieron 3 actas de referentes estrategicos </t>
  </si>
  <si>
    <t>Se verifican actas de refrentes estratégicos</t>
  </si>
  <si>
    <t>Esta actividad se tiene programada para ejecucion en el cuarto trimestre</t>
  </si>
  <si>
    <t xml:space="preserve">SIN </t>
  </si>
  <si>
    <t>Esta actividad no se reporta en este trimestre esta previsto para el ultimo trimestre</t>
  </si>
  <si>
    <t>Se evidencia transferencis</t>
  </si>
  <si>
    <t>8. Fortalecimiento Bomberil</t>
  </si>
  <si>
    <t>Estudios previos aprobados por la Subdirección Estratégica y de Coordinación Bomberil, para la adquisición de Bienes especializados para el fortalecimiento de los Cuerpos de Bomberos del país.</t>
  </si>
  <si>
    <t>Estudios Previos para la adquisición de bienes especializados  aprobados por la subdirección Estratégica y de Coordinación Bomberil.</t>
  </si>
  <si>
    <t>(No. Estudios Previos aprobados por la SECB (en el periodo) / No. Estudios Previos entregados por el Proceso de Gestion Contractual (en el periodo))*100</t>
  </si>
  <si>
    <t>Estudios previos elaborados por el proceso de Gestión Contractual, para la adquisición de bienes especializados de acuerdo a lo aprobado por Junta Nacional de Bomberos y viabilizado por el Gerente del Proyecto (Subdirector Estratégico y de Coordinación Bomberil) y revisados jurídicamente por la subdirección</t>
  </si>
  <si>
    <t xml:space="preserve">La Entidad mediante Resolución 059 de 2024 decretó urgencia manifiesta con el objeto de atender la situación de urgencia ocasionada por el aumento exponencial de los incendios forestales y demás fenómenos naturales o antrópicos asociados, como consecuencia del recrudecimiento del Fenómeno «EL NINO» de los años 2023 y 2024. 
Por tal razón la Capitán Lourdes Peña firmó cinco (5) contratos para la adquisición de bienes para el fortalecimiento de los Cuerpos de Bomberos del País:
105 - 2024	Perdomo Business Group SAS – Herramientas Forestales	
106 - 2024	Epia SAS – Unidades Intervención Rápida 
107 - 2024	Ripel Proveeduría y Construcciones SAS – Bombas Forestales
108 - 2024	Alpercorp Colombia SAS – Piscinas y Bombas de espalda	
109 - 2024	Makei Soluciones y Asesorías SAS – EPP Forestal
Es de aclarar, que tanto urgencia manifiesta, Fichas técnicas y documentos precontractuales no fueron revisados por el proceso de Fortalecimiento Bomberil para la Respuesta.
	</t>
  </si>
  <si>
    <t>En este trimestre no se adelantaron procesos de contratación, tampoco se solicitaron al Proceso de Fortalecimiento fichas técnicas.
En el mes de septiembre se realizó Junta Nacional de Bomberos donde se aprobaron cambios en la cadena de Valor del Proyecto de la DNBC, por tanto, en el mes de octubre se analizarán las posibles compras de equipos.</t>
  </si>
  <si>
    <t> </t>
  </si>
  <si>
    <t>De acuerdo a lo informado se actualiza la programación trasladando  el porcentaje para el último trimestre de la vigencia</t>
  </si>
  <si>
    <t xml:space="preserve">Se realizaron documentos precontractuales y fichas para los siguientes procesos.
DNBC-SASI-005-2024
ADQUISICIÓN DE EQUIPOS DE RESCATE VERTICAL PARA FORTALECER LA CAPACIDAD DE RESPUESTA DE LOS CUERPOS DE BOMBEROS
DNBC-SASI-006-2024
Subasta DQUISICIÓN DE COMPRESORES DE AIRE RESPIRABLE PARA RECARGAR CILINDROS (BOTELLAS) DE EQUIPOS SCBA
CONTRATO 221-2024
ADQUISICIÓN DE EQUIPOS PARA LA EXTINCIÓN DE INCENDIOS FORESTALES CONSISTENTES BOMBAS DE INCENDIOS Y ACCESORIOS
Nota: en el trimestre III no se adelantaron procesos de contratación y no se generó la necesidad de realizar documentos o fichas tecnicas, por tal razón, no hay imcumplimiento de esta actividad y entre los dos trimestres se cumple el 67%.
</t>
  </si>
  <si>
    <t xml:space="preserve">Al revisar los documentos de las evidencias, se cumple con los criterios de evalución para soportar el cumplimiento de la meta establecida en este periodo </t>
  </si>
  <si>
    <t>Actualización base de datos fortalecimiento entregado a los Cuerpos de Bomberos</t>
  </si>
  <si>
    <t>Base de datos fortalecimiento bomberil actualizada</t>
  </si>
  <si>
    <t>No bases de datos Actualizada</t>
  </si>
  <si>
    <t>Base de datos (archivo excel)con actualización mensual del fortalecimiento bomberil</t>
  </si>
  <si>
    <t>Se realizaron las bases de datos correspondientes a:
01 ENERO
02 FEBRERO
03 MARZO</t>
  </si>
  <si>
    <t>Se realizaron las bases de datos correspondientes a:
04 ABRIL
05 MAYO
06 JUNIO</t>
  </si>
  <si>
    <t>Se realizaron las bases de datos correspondientes a:
07 JULIO
08 AGOSTO
06 SEPTIEMBRE</t>
  </si>
  <si>
    <t>Se observan las bases de datos del trimestre actualizadas</t>
  </si>
  <si>
    <t xml:space="preserve">Se realizaron las bases de datos correspondientes a:
10 OCTUBRE
11 NOVIEMBRE
12 DICIEMBRE
</t>
  </si>
  <si>
    <t>Proyecto de Inversión con seguimiento en el sistema SPI-DNP</t>
  </si>
  <si>
    <t>Seguimientos del Proyecto de Inversión realizados en el Sistema PIIP - DNP</t>
  </si>
  <si>
    <t xml:space="preserve">No. De seguimientos realizados en el periodo </t>
  </si>
  <si>
    <t>Reporte del sistema (Captura de pantalla o correo electronico y cadena de valor insumo para el registro) con información del seguimiento mensual en el sistema PIIP de manera oportuna (Fechas establecidas por DNP)</t>
  </si>
  <si>
    <t>La plataforma PiiP tuvo varios problemas para el cierre de cada uno de los periodos que se reportaban, los cuales fueron informados a la mesa de ayuda, estos fallos fueron generalizados para el sector y se dieron fechas de cierre en periodos diferentes.
01.	En enero se hizo el cierre del mes des de diciembre de 2023
02.	El sistema presentó fallas y se solicito apoyo de la mesa de ayuda PIIP para cerrar el mes de enero
03.	El sistema presentó fallas y se solicito apoyo de la mesa de ayuda PIIP para cerrar el mes de enero y febrero
04.	Se Logro hacer el cierre de los meses de enero, febrero y marzo con la correspondiente asesoría de la mesa de ayuda PiiP
Se adjunta imagen con el cierre de los meses enero, febrero y marzo de 2024.</t>
  </si>
  <si>
    <t xml:space="preserve">Se realizaron los seguimientos en la plataforma PiiP de los meses de:
04 Abril
05 Mayo
06 Junio
Durante el trimestre la mesa de ayuda de PiiP informó de cambios en la plataforma y actualizaciones de módulos, se asistió a las capacitaciones programadas.
		</t>
  </si>
  <si>
    <t>Se realizaron los seguimientos en la plataforma PiiP de los meses de:
07 Julio
08 Agosto
09 Septiembre
Durante el trimestre se solicito apoyo a la mesa de ayuda de PiiP debido a problemas con el sistema.</t>
  </si>
  <si>
    <t>Se evidencian pantallazos de los reportes en el sistema PIIP</t>
  </si>
  <si>
    <t xml:space="preserve">Se realizaron los seguimientos en la plataforma PiiP de los meses de:
10 OCTUBRE
11 NOVIEMBRE
12 Se realiza en Enero
</t>
  </si>
  <si>
    <t>Ficha Fortalecimiento Bomberil para informes de la DNBC</t>
  </si>
  <si>
    <t>Ficha Fortalecimiento Cuerpos de Bomberos para actividades DNBC realizadas</t>
  </si>
  <si>
    <t>(No. de fichas elaboradas / No. De fichas solicitadas)*100</t>
  </si>
  <si>
    <t>Fichas elaboradas (documento excel requerido por el Director)</t>
  </si>
  <si>
    <t>En el trimestre se realizaron 96 fichas:
Enero 33 Fichas
Febrero 33 fichas
Marzo 30 fichas</t>
  </si>
  <si>
    <t>En el trimestre se realizaron 92 fichas:
Abril 15 fichas
Mayo 38 fichas
Junio 39 fichas</t>
  </si>
  <si>
    <t>En el trimestre se realizaron 79 fichas:
Julio 14 fichas
Agosto 30 fichas
Septiembre 35 fichas</t>
  </si>
  <si>
    <t>Se verifican las fichas realizadas por cada mes del trimestre</t>
  </si>
  <si>
    <t xml:space="preserve">En el trimestre se realizaron 105 fichas:
10 Octubre 33 Fichas
11 Noviembre 36 fichas
12 Diciembre 36 fichas
</t>
  </si>
  <si>
    <t>Proceso de revisión y gestión de Solicitudes  para trámites de reclamación de  Seguros de vida para voluntarios  de los Cuerpos de Bomberos.</t>
  </si>
  <si>
    <t>Proceso de Revisión y Gestión de Solicitudes  para trámites de reclamación de  Seguros de vida para voluntarios  de los Cuerpos de Bomberos.</t>
  </si>
  <si>
    <t>(No. Solicitudes gestionadas / No. solicitudes recibidas)*100</t>
  </si>
  <si>
    <t>Recepción de documentos (segurosdevida@dnbc.gov.co) y soporte de envío a la aseguradora de casos nuevos para dar inicio al trámte de seguros de vida y/o accidentes en misión</t>
  </si>
  <si>
    <t>Se recibieron para Enero, febrero, marzo: 425 solicitudes referentes a consultas, tramites, requerimientos en temas de seguros de vida, requisitos, solicitud por parte de la aseguradora en documentacion faltante para dar continuidad al tramite de la reclamacion.
En este trimestre se han reportado 23 casos de reclamacion
9 casos cerrados y pagados y 14 pendientes de definicion ante la aseguradora.
Se han brindaron 218 consultas formales vía email.</t>
  </si>
  <si>
    <t>En el trimestre se reportaron a la aseguradora 15 casos nuevos de siniestros
Abril 9 siniestros
Mayo 4 siniestros
Junio 2 siniestros
Se han brindaron 665 consultas formales vía email.</t>
  </si>
  <si>
    <t>No reportan  información de este producto en el periodo</t>
  </si>
  <si>
    <t>Trimestres III
En el trimestre III se reportaron a la aseguradora 11 nuevos casos de siniestros:
Julio: 3 casos nuevos
Agosto: 3  casos nuevos
Septiembre: 5 casos nuevos
En este trimestre se han recepcionado 264 consultas referentes a seguros de vida: 
Julio:   81 email
Agosto:  101 email
Septiembre:  82 email
Se dieron respuesta a 242 email.
-------------------------------
Trimestres IV
Se han brindaron 665 consultas formales vía email.
En el trimestre IV se reportaron a la aseguradora 22 nuevos casos de siniestros:
OCTUBRE:  6 casos nuevos
NOVIEMBRE: 9  casos nuevos
DICIEMBRE:  7 casos nuevos
En este trimestre se han recepcionado 256 consultas referentes a seguros de vida: 
OCTUBRE: 94 email
NOVIEMBRE: 119 email
DICIEMBRE: 43 email
Se dieron respuesta a 208 email
NOTA: CON EL REPORTE SE CUMPLE EL 60% DE LOS DOS TRIMESTRES</t>
  </si>
  <si>
    <t>Informes asociados a las Plataformas (programas especiales) generadas para el fortalecimiento de la capacidad de respuesta de los Cuerpos de Bomberos del país</t>
  </si>
  <si>
    <t>Informes asociados a las Plataformas (programas especiales) implementadas para el fortalecimiento de la capacidad de respuesta de los Cuerpos de Bomberos del país</t>
  </si>
  <si>
    <t>N° de informes de actividades  (prácticas, simulaciones, simulacros o movilizaciones en temas bomberiles) realizadas en el periodo, en el marco de las plataformas programadas</t>
  </si>
  <si>
    <t>4 Informe de actividades (prácticas, simulaciones, simulacros o movilizaciones en temas bomberiles) realizado en el periodo, distribuidos así:
II - 1 Informe
III- 2 Informes
IV- 1 Informe</t>
  </si>
  <si>
    <t>En este trimestre aún no se han autorizado En el trimestre se reportaron a la aseguradora 15 casos nuevos de siniestrosel inicio de programas y plataformas. La oficina de contratación está analizando las formas de contratación</t>
  </si>
  <si>
    <t xml:space="preserve">No se observan evidencias subidas </t>
  </si>
  <si>
    <t>En este trimestre la oficina de contratación inició el proceso competitivo decreto no. 092 de 2017 DNBC-DCT092-002-2024 para el Programa de Bomberos Indignas, del cual se generó el convenio 001 de 2024 que tiene por objeto “AUNAR ESFUERZOS ACADEMICOS, ADMINISTRATIVOS, TECNICOS Y FINANCIEROS PARA FORTALECER LAS CAPACIDADES DE INSTRUCCIÓN DE LOS BOMBEROS INDÍGENAS DE COLOMBIA A TRAVÉS DE LA TRANSFERENCIA DE CONOCIMIENTO DE LA BUENA PRÁCTICA “PROGRAMA NACIONAL DE BOMBEROS INDÍGENAS”, CAPACITANDO A 5 COMUNIDADES INDÍGENAS EN EL TALLER PARA COMUNIDADES DE CUIDADO DEL AMBIENTE Y AUTOPROTECCIÓN A INCENDIOS FORESTALES, ASISTENCIA TÉCNICA Y REALIZACIÓN DEL CURSO DE FORMACIÓN PARA BOMBEROS DENTRO DEL PLAN ESTRATÉGICO INSTITUCIONAL DE LA DIRECCIÓN NACIONAL DE BOMBEROS DE COLOMBIA, EN EL MARCO DE FORTALECIMIENTO DE LOS CUERPOS DE BOMBEROS DEL PAÍS”
Es de aclarar, que tanto Fichas técnicas y documentos precontractuales no fueron realizadas ni revisados por el proceso de Fortalecimiento Bomberil para la Respuesta.</t>
  </si>
  <si>
    <t>De acuerdo con los criterios definidos a la fecha no se cuenta con informes de actividades ejecutadas por las plataformas, por lo cual se espera contar con los informes planificados para el cierre de la vigencia</t>
  </si>
  <si>
    <t xml:space="preserve">a.	En este trimestre anterior (III) se celebró el contrato no. 092 de 2017 DNBC-DCT092-002-2024 para el Programa de Bomberos Indignas, con el CBV de Riosucio (Caldas), el cual inició su ejecución en el mes de octubre, se adjuntan informes y pagos correpondientes a:
10. Octubre
11. Noviembre
Nota: a Corte de 16 de Diciembre aún no se genera el tercer informe debido a que las actividades se cumplen a 31 de diciembre de 2024.
b.	El 27 de Noviembre se celebró el contrato ESAL-003-2024 para la Programa de Incendios Forestales con el CBV de Yopal (Casanare), se adjuntan informes y pagos correpondientes a:
11. Noviembre
Nota: a Corte de 16 de Diciembre aún no se genera el segundo informe debido a que las actividades se cumplen a 31 de diciembre de 2024.
Para esta vigencia las pLataformas y Prgramas se desarrollaron y supervisaron desde Dirección y el proceso de Educación.
</t>
  </si>
  <si>
    <t xml:space="preserve">Al revisar las evidencias se verifican soportes: En la carpeta de Riosucio son anexos  que corresponden a cuentas de cobro no ha un informe del trimestre. Y en la carpeta de Yopal se encuentran los informes de Pereira, Villanueva, Norte de Santander, y Tolima. Sin embargo no se realizo el informe trimestral del periodo segun lo establecido en los criterios de evalució. </t>
  </si>
  <si>
    <t>Seguimiento en territorio a los bienes de la DNBC que se encuentran en comodato con los CB.</t>
  </si>
  <si>
    <t>Visitas para seguimiento en territorio a los bienes de la DNBC que se encuentran en comodato con los CB realizadas</t>
  </si>
  <si>
    <t xml:space="preserve">No. de visitas realizadas </t>
  </si>
  <si>
    <t>Informes de supervisón por cada visita realizada
Supervisores asignados
Subdirector Estratégico y de Coordinación Bomberil y personal de planta asignado</t>
  </si>
  <si>
    <t>Durante el primer trimestre la Entidad ha tenido reemplazo de personal, cambio de Director y la entrada de nuevos funcionarios resultado del concurso realizado por Funcion Pública y la DNBC, al corte 30 de junio salieron las siguientes personas:
Carlos Armando Lopez Barrera
Edgar Hernán Molilna Macias
Faubricio Sanchez Cortes
Ronny Romero Velandia
Desde Marzo de 2023 no se ha nombrado Subdirector estratégico y de Coordinación Bomberil.
A la fecha quedan los siguientes funcionarios con supervisones:
1.Paula Cortes
2.Edgar Alexander Maya
3.Edwin Zamora Oyola
4.Luis Alberto Valencia
5.Andrés Muñoz
El personal que ha ingresado no cuenta con formación bomberil, por tanto, no se han designado nuevas supervisiones.
Para el siguiente trimestre salen los últimos funcionarios que tienen supervisiones, los respectivos reemplazos no tienen formación bomberil, por tanto, desde la Alta Dirección se analiza el cambio que se tomará para el tema de supervisiones.
Para los Supervisores que quedan, hasta la fecha no se han autorizado a los supervisores salidas. La Entidad a junio de 2024 no cuenta con proveedor de tiquetes.</t>
  </si>
  <si>
    <t xml:space="preserve">No se observan evidencias subidad </t>
  </si>
  <si>
    <t>Durante los tres trimestres la Entidad ha tenido reemplazo de personal, cambio de Director y la entrada de nuevos funcionarios resultado del concurso realizado por Funcion Pública y la DNBC, al corte 30 de junio salieron las siguientes personas:
Carlos Armando Lopez Barrera
Edgar Hernán Molilna Macias
Faubricio Sanchez Cortes
Ronny Romero Velandia
Paula Cortes
Desde Marzo de 2023 no se ha nombrado Subdirector estratégico y de Coordinación Bomberil.
A la fecha quedan los siguientes funcionarios con supervisones:
1.Edgar Alexander Maya
2.Edwin Zamora Oyola
3.Luis Alberto Valencia
4.Andrés Muñoz
El personal que ha ingresado no cuenta con formación bomberil, por tanto, no se han designado nuevas supervisiones.
Para el siguiente trimestre salen los últimos funcionarios que tienen supervisiones, los respectivos reemplazos no tienen formación bomberil, por tanto, desde la Alta Dirección se analiza el cambio que se tomará para el tema de supervisiones.
Para los Supervisores que quedan, hasta la fecha no se han autorizado salidas a los supervisores.
La Entidad a septiembre de 2024 no cuenta con proveedor de tiquetes.</t>
  </si>
  <si>
    <t>No se observa avance en la entidad ni por parte del lider del proceso se ha tomado alguna medida de modificación o gestión del producto</t>
  </si>
  <si>
    <t xml:space="preserve">Durante la vigencia 2024 la Entidad ha tenido reemplazo de personal, cambio de Director y la entrada de nuevos funcionarios resultado del concurso realizado por Funcion Pública y la DNBC, al corte del 16 de diciembre salieron las siguientes personas:
Carlos Armando Lopez Barrera
Edgar Hernán Molilna Macias
Faubricio Sanchez Cortes
Ronny Romero Velandia
Paula Cortes
Andrés Muñoz
Luis Valencia
Desde el mes de Octubre de 2024  se nombró como Subdirector estratégico y de Coordinación Bomberil al Te. Luis Alberto Valencia
A la fecha quedan los siguientes funcionarios con supervisones:
1.Edgar Alexander Maya
2.Edwin Zamora Oyola
3. Luis Alberto Valencia
El personal que ha ingresado no cuenta con formación bomberil, por tanto, no se han designado nuevas supervisiones.
Desde la Alta Dirección no se realizaron los cambios y directrices para los asuntos de supervisiones.
Para los Supervisores que quedan, hasta la fecha no se han autorizado salidas a los supervisores.
</t>
  </si>
  <si>
    <t xml:space="preserve">Se maniefiesta el mismo argumento que en los anteriores trimestres. </t>
  </si>
  <si>
    <t>Asitencia Técnica a Cuerpos de Bomberos y Entes territoriales sobre proyectos de infraestructura.</t>
  </si>
  <si>
    <t>Informes de aistencia técnica a Cuerpos de Bomberos y Entes Territoriales sobre temas de infraestructura presentados a la Subdireccioón</t>
  </si>
  <si>
    <t>No de informes presentados</t>
  </si>
  <si>
    <t>Oficios (asistencia técnica, u oficios de respuesta) generados para los Cuerpos de Bomberos en materia de infraestructura o visitas en campo para asuntos en infraestructura.</t>
  </si>
  <si>
    <t>En el primer trimestre de 2024 no se contrató personal para el área de infraestructura, sin embargo, se dio información a los Cuerpos de Bomberos y Entes Territoriales a través del correo electrónico, suministrando formatos y planos de las estaciones para que realicen el análisis de los mismos.
19 asistencias técnicas
Enero:  4
Febrero:  8  
Marzo:  7</t>
  </si>
  <si>
    <t>En el segundo trimestre se realizaron 21 asistencias técnicas
Abril:  12
Mayo:   4  
Marzo:  5</t>
  </si>
  <si>
    <t>En el segundo trimestre se realizaron 19 asistencias técnicas
Julio:  10
Agosto:   4 
Septiembre:  5</t>
  </si>
  <si>
    <t>Se presenta informes por cada mes del trimestre de las asesorias ralizadas</t>
  </si>
  <si>
    <t xml:space="preserve">En el segundo trimestre se realizaron 9 asistencias técnicas
Octubre:  5
Noviembre:   2 
Diciembre:  2
</t>
  </si>
  <si>
    <t>Informe mensual con avance de ejecución de las estaciones de bomberos aprobadas y en ejecución</t>
  </si>
  <si>
    <t>Informe mensual con avance de ejecución de los convenios de cofinanciacion para la construccion de estaciones de Bomberos</t>
  </si>
  <si>
    <t>Informes mensuales presentados a la Subdirección Estratégica
El informe debe tener Avance físico - financiero de cada convenio</t>
  </si>
  <si>
    <t>En el primer trimestre de 2024 no se contrató personal para el área de infraestructura, sin embargo, no hubo avances de obra al encontrarse suspendida la interventoría de las estaciones.
Ser realizó un (1) informe del trimestre
•	1 proyecto en liquidación bilateral.
•	1 Proyecto terminado y entregado.
•	3 proyectos en revisión para entrega.
•	3 proyectos terminados en consecución del mobiliario.
•	2 Proyectos se encuentran en espera de la certificación RETIE.
•	5 Proyectos en obra gris (Acabados, Red contra incendios y conexiones a servicios públicos.).
•	5 Proyectos en obra negra (Estructura, Mampostería y Pañetes Terminados inicio de acabados e instalación de redes).
•	1 Proyecto con cierre financiero por iniciar obra.
•	1 Proyecto en estudios y diseños</t>
  </si>
  <si>
    <t>Ser realizaron tres (3) informes en el trimestre
•	1 proyecto en liquidación bilateral.
•	1 Proyecto terminado y entregado.
•	3 proyectos en revisión para entrega.
•	3 proyectos terminados en consecución del mobiliario.
•	2 Proyectos se encuentran en espera de la certificación RETIE.
•	5 Proyectos en obra gris (Acabados, Red contra incendios y conexiones a servicios públicos.).
•	5 Proyectos en obra negra (Estructura, Mampostería y Pañetes Terminados inicio de acabados e instalación de redes).
•	1 Proyecto con cierre financiero por iniciar obra.
•	1 Proyecto en estudios y diseños.</t>
  </si>
  <si>
    <t>Ser realizaron tres (3) informes en el trimestre
• 1 proyecto en liquidación bilateral.
• 2 Proyecto terminados y entregado.
• 1 proyectos en revisión para entrega.
• 3 proyectos terminados en consecución del mobiliario.
• 2 Proyectos se encuentran en espera de la certificación RETIE.
• 5 Proyectos en obra gris (Acabados, Red contra incendios y conexiones a servicios públicos.).
• 5 Proyectos en obra negra (Estructura, Mampostería y Pañetes Terminados inicio de acabados e instalación de redes).
• 1 Proyecto con cierre financiero por iniciar obra.
• 1 Proyecto en estudios y diseños.</t>
  </si>
  <si>
    <t>Se presentan informes del estado de los procesos de construcción de las estaciones de los tres meses de l periodo</t>
  </si>
  <si>
    <t xml:space="preserve">Se realizaron tres (3) informes en el trimestre
•	1 proyecto en liquidación bilateral.
•	4 proyectos terminado y entregado.
•	4 proyecto en revisión para entrega.
•	2 proyectos en adjudicación del mobiliario.
•	4 proyectos terminados en consecución del mobiliario.
•	2 proyectos se encuentran en espera de la certificación RETIE.
•	4 proyectos en obra gris (Acabados, Red contra incendios y conexiones a servicios públicos.).
•	0 proyectos en obra negra (Estructura, Mampostería y Pañetes Terminados inicio de acabados e instalación de redes).
•	1 proyecto en estudios, diseños y cierre financiero.
</t>
  </si>
  <si>
    <t xml:space="preserve">Actualización inventario de bienes adquiridos para el fortalecimiento de los Cuerpos de Bomberos </t>
  </si>
  <si>
    <t xml:space="preserve">Inventario de bienes (adquiridos para el fortalecimiento de los CB realizado en coordinación co el gestión administrativa) actualizados.  </t>
  </si>
  <si>
    <t>No. de actualizaciones realizadas</t>
  </si>
  <si>
    <t>Base de datos con documento (acta de reunión y/o lista de asistencia) que indique la revisión o actualización de la base de datos.</t>
  </si>
  <si>
    <t>Con el nuevo personal contratado para actividades de almacen se realizaron tres inventarios:
04 abril
05 mayo
06 junio</t>
  </si>
  <si>
    <t>Con el nuevo personal contratado para actividades de almacen se realizaron tres inventarios:
07 julio
08 Agosto
09 Septiembre</t>
  </si>
  <si>
    <t>SE presentanm las 3 actas donde se valida la actualización de inventarios realizada</t>
  </si>
  <si>
    <t xml:space="preserve">Con el nuevo personal contratado para actividades de almacen se realizaron tres inventarios:
10 Octubre
11 Noviembre 
12 Diciembre
</t>
  </si>
  <si>
    <t xml:space="preserve">Se presentan las tres actas con la información del inventario. Sin embargo no se adjunto la base de datos con la cual se verifico la información del acta. Tal como lo establece los criterios de evaluación. </t>
  </si>
  <si>
    <t>Se hace el reporte de Riesgos de gestión</t>
  </si>
  <si>
    <t>No se presenta reporte de riesgos</t>
  </si>
  <si>
    <t>Se realizó el reporte PAAC del proceso de Fortalecimiento Bomberil, enviado mediante correo electronico el 8 de mayo de 2024</t>
  </si>
  <si>
    <t xml:space="preserve">No se realizó el reporte PAAC del proceso de Fortalecimiento Bomberil por confusion de fechas de la Oficina de Control Interno, el proceso reportará en el cuarto trimestre el avance de los trimestres III y IV. </t>
  </si>
  <si>
    <t>No se presento reporte paac</t>
  </si>
  <si>
    <t>Se realizó el reporte PAAC del proceso de Fortalecimiento Bomberil</t>
  </si>
  <si>
    <t>Se realizo el seguimiento a los dos inicadores del proceso:
1.	Entrega de bienes (semestral) 100% - Los bienes de 5 contratos firmados (Urgencia manifiesta por incendios forestales ) se recibieron por el supervisor Rainer Naranjo y fueron dejados en custodia debido a que la bodegas de la Entiad necesitaba ordenarse.
2.	Indicador estado de bines comodato (Trimestra)
Trimeste 01: En el primer trimestre 203 Cuerpos de Bomberos enviaron los informes de comodato a traves de correo electrónico, lo cual corresponde al 19,6 %
Trimestre 02: En el segundo trimestre 350 Cuerpos de Bomberos enviaron los informes de comodato a traves de correo electrónico, lo cual corresponde al 33,8 %</t>
  </si>
  <si>
    <t>Se realizo el seguimiento a los dos inicadores del proceso:
1. Entrega de bienes (semestral) 100% - Los bienes de 5 contratos firmados (Urgencia manifiesta por incendios forestales ) se recibieron por el supervisor Rainer Naranjo y fueron dejados en custodia debido a que la bodegas de la Entiad necesitaba ordenarse.
2. Indicador estado de bines comodato (Trimestra)
Trimeste 01: En el primer trimestre 203 Cuerpos de Bomberos enviaron los informes de comodato a traves de correo electrónico, lo cual corresponde al 19,6 %
Trimestre 02: En el segundo trimestre 350 Cuerpos de Bomberos enviaron los informes de comodato a traves de correo electrónico, lo cual corresponde al 33,8 %</t>
  </si>
  <si>
    <t>Se realizaron mesas de tabajo para revisión de indicadores con el proceso de gestión de análisis y mejora continua</t>
  </si>
  <si>
    <t>Se realizaron reuniones con Planeación para verificar los indicadores del proceso, se realizaron las actualizaciones de los formatos y se diligenciaron los dos indicadores del proceso</t>
  </si>
  <si>
    <t>No se requirió actualización de documentos es este periodo</t>
  </si>
  <si>
    <t>En este periodo no se ejecuta la actividad</t>
  </si>
  <si>
    <t>sin avance</t>
  </si>
  <si>
    <t>El proceso de fortalecimiento realizó los reportes CGR que se solicitaron</t>
  </si>
  <si>
    <t>Se presento avance al plan de mejora</t>
  </si>
  <si>
    <t>El proceso de fortalecimiento realizó los reportes CGR</t>
  </si>
  <si>
    <t>Se reporta PM procesos y CGR</t>
  </si>
  <si>
    <t>Se realizó el seuimiento a los referentes estratégicos con la Capitán Lourdes peña</t>
  </si>
  <si>
    <t xml:space="preserve">No se evidencia las firmas correspondientes </t>
  </si>
  <si>
    <t>Se realizó el seguimiento a los referentes estratégicos con la Capitán Lourdes Peña</t>
  </si>
  <si>
    <t>Se presentan 3 documentos en word sin formalizar</t>
  </si>
  <si>
    <t>En el tercer trimestre se realizó el seguimiento a los referestes estratégicos con la Ct. Lourdes Peña del Valle (43%)
07 Julio
08 Agosto
09 Septiembre
En el tercer trimestre se realizó el seguimiento a los referentes estratégicos con el Teniente Luis valencia  (43%)
10 Octubre
11 Noviembre
12 Diciembre</t>
  </si>
  <si>
    <t xml:space="preserve">El Proceso de Fortalecimiento está realizando la verificación de documentos a transferir al proceso documental, en el respectivo formato.así mismo, está pendiente de los ultimos informes de la aeeguradora que envia sobre los casoso de seguros de vida para generar la ransferencia digital de los mismos.
Por lo anterior, se realizará la transferencia el dia 30 de Diciembre
</t>
  </si>
  <si>
    <t>No se evidencia transferencia</t>
  </si>
  <si>
    <t>2.2.Posicionar a la Dirección Nacional de Bomberos de Colombia en el territorio nacional como ente de coordinación de las instituciones de Bomberos del país.​</t>
  </si>
  <si>
    <t>Formalización y actualizacion del procedimiento de IVC</t>
  </si>
  <si>
    <t xml:space="preserve">Actualizacion del procedimiento del IVC </t>
  </si>
  <si>
    <t>Proceso de IVC actualizado</t>
  </si>
  <si>
    <t>Nùmero</t>
  </si>
  <si>
    <t>Caracterización del proceso formalizada</t>
  </si>
  <si>
    <t>Para el primer trimestre la meta fue 0 ya que la contratacion inicio en el mes de Mayo.</t>
  </si>
  <si>
    <t>En el segundo semestre continuo la contratación total  del equipo y se realizaron unas mesas de trabajo para coordinar como se trabajara el documento final.</t>
  </si>
  <si>
    <t>Para este trimestre se realizaron varias mesas de trabajo con el equipo, se realizo la actualizacion de la caracterizacion dandole un nuevo enfoque tanto al objetivo ocmo al alcance de la misma, se ajustaron algunas actividades,y se le presento al nuevo gestor del proceso.En este momento la carcaterizacion o documento esta en proceso de aprobacion por el gestor y proximamente remitido al proceso de planeacion para ser publicado y formalizado.</t>
  </si>
  <si>
    <t>Se podrá dar el 100% de cumplimiento  una vez se cuente con el producto formalizado en SIGE</t>
  </si>
  <si>
    <t>Se realiza la entrega final de la carcaterizacion al area de Planeacion para formalizacion y  actualizacion.</t>
  </si>
  <si>
    <t>Al revisar las evidencias se identifica que se encuentra soportada la actividad con los documentos establecidos en los criterios de evaluación.</t>
  </si>
  <si>
    <t>Acompañamiento para la verificación de condiciones operativas, técnicas, legales, administrativas y financieras a los cuerpos de bomberos del país a solicitud de las autoridades departamentales, municipales o bomberiles o quien lo requiera.</t>
  </si>
  <si>
    <t xml:space="preserve"> Acompañamientos a CB para verificación de condiciones operativas</t>
  </si>
  <si>
    <t>No. De acompañamientos realizados/No. De acompañamientos requeridos</t>
  </si>
  <si>
    <t>La evidencia se soporta en las actas de verificación cuerpos de bomberos de colombia</t>
  </si>
  <si>
    <t>No se ha realizado ningún desplazamiento, ni visita ya que se esta actualizando el procedimiento y la carcaterizacion del proceso, mediante una diagnostico y/o  caracterizacion a los cuerpos de bomberos. Se adjunta borrador del diagnostico y/o caracterizacion.</t>
  </si>
  <si>
    <t>Durente este trimestre se visitaron los siguientes cuerpos de bomberos en calidad de IVC. Cachipay, Circasia,Mogotes. Y en calidad de Coordinacion Operativa se visito: Gacheta, Giron y Playon Santander.</t>
  </si>
  <si>
    <t>Se verifican acompañamiento a 6 Cuerpos de Bomberos, se tiene en cuenta la solicitud de avanzar acorde con la demanada de visitas que se realicen teniendo en cuenta lineamientos de dirección</t>
  </si>
  <si>
    <t>Durente este trimestre se visitaron los siguientes cuerpos de bomberos en calidad de IVC. Ibague, Cajica, Turbo,Zaragoza,</t>
  </si>
  <si>
    <t xml:space="preserve">Al revisar las evidencias soportadas se identifico que el documento de Cajica reporta la solicitid pero no el acta de visita o emision de concepto requerido. </t>
  </si>
  <si>
    <t>Asesorías técnicas en buenas prácticas administrativas ,financieras y operativas   para cuerpos de bomberos acorde a la legislación específica bomberil</t>
  </si>
  <si>
    <t>Asesorías técnicas a Cuerpos de bomberos en buenas práticas</t>
  </si>
  <si>
    <t>No. De asesorias realizadas/No. De asesorias programadas</t>
  </si>
  <si>
    <t>Asesoria a cuerpos de bomberos la evidencia se soporta por grabaciones, listas de asistencia, link de transmision por plataformas institucionales.</t>
  </si>
  <si>
    <t>Para el II semestre la meta fue cero , sin embargo en la confederacion de Bomberos el Capitan Dario Pedreros expuso todo el acompañamiento que viene realizando el proceso de IVC. Se adjunta presentación</t>
  </si>
  <si>
    <t xml:space="preserve">El proceso de IVC hizo acompañamiento mediante la  Profesional -Abogada Sthepanie Rodriguez quien asesoro y acompaño a la Gobernacion de  Santander, y a lo municipios de :Mogotes, Socorro,Velez. </t>
  </si>
  <si>
    <t>Se verifica las evidencias de los 4 acompañamientos realizados</t>
  </si>
  <si>
    <t>El proceso de IVC hizo acompañamiento y asesoro a los siguientes cuerpos de bomberos: Frontino, Algarrobo , Latebaida, Apia y participo en el encuentro de comandantes Mujeres con la asesoria de Acciones gerenciales y administrativas por parte del Gestor Juan Fontalvo.</t>
  </si>
  <si>
    <t xml:space="preserve">Se cumple con los establecido por los criterios de evaluación </t>
  </si>
  <si>
    <t>Talleres dirigidos a Cuerpos de Bomberos para el diseño o construccion  del manual de operaciones PONS básicos.</t>
  </si>
  <si>
    <t xml:space="preserve">Talleres sobre Manual de operaciones a cuerpos de bomberos </t>
  </si>
  <si>
    <t>No. De talleres realizados/No. De talleres programados</t>
  </si>
  <si>
    <t>La evidencia se soporta por grabaciones, listas de asistencia, link de transmision por plataformas institucionales, sí se realiza de manera física listas de asistencia y registro fotográfico.</t>
  </si>
  <si>
    <t>No se ha realizado ningun taller, el cumplimiento de esta meta se  definio para el III y IV trimestre.</t>
  </si>
  <si>
    <t>No se ha realizado ningun taller, el cumplimiento de esta meta se  cumplira en el IV trimestre.</t>
  </si>
  <si>
    <t xml:space="preserve">Se realiza taller de PONS como cumplimiento de la actividad y socializacion de la Resolucion 431 de 2024  por la ual se establecen los estandares de los procedimientos operativos normalizados. Para los Bomberos del pais: Mesa de trabajo que se llevo a cabo con: Algarrobo, Frontino, Zaragoza, Apia </t>
  </si>
  <si>
    <t xml:space="preserve">Al revisar las evidencias se identifico que se no se cargo el cata de la mesa de trabajo de Zaragoza, y se cargo la de envigado la cual no corresponde. </t>
  </si>
  <si>
    <t>Informe del seguimiento y revision a los planes de mejoramiento, formulados con los Cuerpos de bomberos visitados II semestre 2023</t>
  </si>
  <si>
    <t>Informes de revisiòn planes de mejoramiento</t>
  </si>
  <si>
    <t>No. De informes realizados/No. De informes programados</t>
  </si>
  <si>
    <t>La evidencia se soporta por medio del documento -avance que remita el CB que fue visitado y adquirio el compromiso durante la visita</t>
  </si>
  <si>
    <t>En este trimestre, se realizo un cuadro con todas las comisiones hechas en el II semestre del año 2023, con el objetivo de realizar seguimiento a todos los planes de mejoramiento que se dejaron en su momento a los cuerpos de bomberos visitados.</t>
  </si>
  <si>
    <t>El resultado no está acorde con la actividad presupuestada para este periodo, la información que sube corresponde a una matriz que no da respuesta a la actividad ni a los criterios de evaluación</t>
  </si>
  <si>
    <t>Se ha realizado seguimiento a algunos cuerpos de bomberos , en este trimestre tambien se brindo acompñamiento a el cuepro de bomberos de Ebejico respecto a los 28 puntos del anexo, al igual que el CBO de San Andres. El cbv de Villanueva - Casanare, remitio todos los documentos de su plan de mejoramiento y la fecha cumple con todos los requisitos para ser Operativo. S e adjunta acta final.</t>
  </si>
  <si>
    <t>De acuerdo con las evidencias solo se cuenta con un informe de seguimiento al plan de mejora de Villanueva, se sube un tabla en excel que nocorresponde alos criterios definidos para vali9dar elproducto. Se llevaría un rezago de 5 informes a la fecha, teniendo en cuenta la meta propuesta</t>
  </si>
  <si>
    <t>Se ha realizado seguimiento a algunos cuerpos de bomberos, en este trimestre tambien se brindo acompañamiento a el curpo de Bomberos  de Armenia Oficiales, Suesca, Buga La Grande, Soledad, Villanueva, Guajira, Sibate, Circasia, Tolu viejo.</t>
  </si>
  <si>
    <t xml:space="preserve">Los documentos de evidencias son envios de corresos electroniocos mas no informes de seguimiento como lo estipula el criterio de evaluación: del documento -avance que remita el CB que fue visitado y adquirio el compromiso durante la visita. A ecepción de Villanueva y Circasia. </t>
  </si>
  <si>
    <t>Asesoría, diseño y acompañamiento en materia del SGSST a los cuerpos de bomberos del país</t>
  </si>
  <si>
    <t>Asesorías en SGSST realizadas</t>
  </si>
  <si>
    <t>No. De sesorias realizadas/No. De asesorias programadas</t>
  </si>
  <si>
    <t xml:space="preserve">Las evidencias se soportan en 3 partes: Parte: 1 Socializacion de plan de trabajo y/o emision de la circular, a los Delegados Departamentales y CB , Parte 2: Remision de informacion en materia de SGSST por parte de los CB al proceso y diagnostico por parte del proceso de IVC Parte 3: Asesoria y acompañamiento en el diseño del SGSST de los CB    </t>
  </si>
  <si>
    <t>En el segundo semestre se iniciaron mesas de trabajo para el desarrollo de una circular , que se socializara , durante el III trismestre con los cb, con el objetivo de sensibilizar a cada cb de la importancia de diseñar , crear o continuar desarrollando el SGSST.se adjunta borrador.</t>
  </si>
  <si>
    <t>El resultado no está acorde con la actividad presupuestada para este periodo, lla información que sube no da respuesta a la actividad programada que es una circular en borrador</t>
  </si>
  <si>
    <t>Durante este trimestre el experto en SGSST Hernan Pelaez ,brinco acompañamiento y asesoria a los siguientes cuerpos de bomberos. Toluviejo,Circasia - QuindíoRionegro - Santander</t>
  </si>
  <si>
    <t>No se puede dar avance al producto toda vez que la información que reportan no esta acorde con los criterios definidos por elproceso para emedir elvance y cumplimiento del producto.</t>
  </si>
  <si>
    <t>Durante este trimestre se brindo acompañamiento y asesoria a los siguientes cuerpos de bomberos. Apia, Frontino,Algarrobo.</t>
  </si>
  <si>
    <t xml:space="preserve">Formulación de Documento tecnico insumo para la creacion del modulo de IVC en el RUE </t>
  </si>
  <si>
    <t>Documento técnicoi Modulo IVC en el RUE formulado</t>
  </si>
  <si>
    <t>Documento técnico Modulo IVC en el RUE formulado</t>
  </si>
  <si>
    <t>Documento del proceso presentado a la Subdirección, se presentaran avances en cada periodo hasta su formalización</t>
  </si>
  <si>
    <t>En el II semestre para el mes de junio se llevaron a cabo varias reuniones con el Ingeniero Gustin, para el planteamiento y/o creacion del boton de IVC en la plataforma RUE, con objetivo de poder canalizar toda la informacion del proceso en un solo modulo. Se hizo entrega de las 28 preguntas del anexo 1, que integra todos los requerimientos que obedecen a las visitas del proceso, con las cuales buscamos sea desarrollado el boton para el proceso.</t>
  </si>
  <si>
    <t>El resultado no está acorde con la actividad presupuestada para este periodo, suben una foto de whatsapp</t>
  </si>
  <si>
    <t>En este trimestre se dio el desarrollo y acompañamiento del modulo de IVC en el RUE, según lo programado el modulo debe estar e funcionamiento finalizando el mes de Octubre. Se adjutan listas de asistencia de cada reunion y seguimiento del proyecto.</t>
  </si>
  <si>
    <t>Se presentan evidencias de trabajo con el proceso de TI frente a producto formulador para operar en el RUE, al cierre de la vigencia se debe contar con el documento planteado.</t>
  </si>
  <si>
    <t>Se adjunta documento final con el instructivo del modulo de IVC en el RUE .El documento esta sujeto a modificación y actualización acorde a los avances que se hagan en el modulo, el próximo año.</t>
  </si>
  <si>
    <t xml:space="preserve"> </t>
  </si>
  <si>
    <t>Se adjunta matriz de riesgo de gestion con sus respectivas evidencias.</t>
  </si>
  <si>
    <t>Se presentan evidencia de matriz de riesgos</t>
  </si>
  <si>
    <t>Se realizo reporte.Se adjunta matriz en excel.</t>
  </si>
  <si>
    <t>Se adjunta soportes del Reporte.</t>
  </si>
  <si>
    <t>Se presenta evidencia de presentación del PAAC</t>
  </si>
  <si>
    <t>El proceso se encontraba en este trismestre en proeso de contratacion, se debe realizar ajuste a la periodicidad de los indicadores</t>
  </si>
  <si>
    <t>El resultado no está acorde con la actividad presupuestada para este periodo, los suben pero no reportan</t>
  </si>
  <si>
    <t>Se realizaron los respectivos ajustes de los indicadores, se adjunta evidencia ( correo electronico) y matriz de indicadores.</t>
  </si>
  <si>
    <t>Se cuenta con evidencias de trabajo realizado con el proceso de Gestión de análisi y mejora continua</t>
  </si>
  <si>
    <t>Formalización y actualizacion del procedimiento de IVC
Actualización de la carcaterizacion del proceso de IVC</t>
  </si>
  <si>
    <t>Se solicita realizar ajuste a los porcentajes en esta matriz, ya que la actualizacion de la caracterizacion y procedimiento, segun las actividades del plan de accion vigente, se estima dar cumplimiento durante el III trimestre del año.</t>
  </si>
  <si>
    <t xml:space="preserve">El resultado no está acorde con la actividad presupuestada para este periodo, No reportan actualizaciones a documentos </t>
  </si>
  <si>
    <t>Se avanza en la cosntrucción del docuemnto de caracterización, por lo cual se trae la programación del segundo trimestre para eliminar el rezago que se traia</t>
  </si>
  <si>
    <t>Se valida evidencia además Se da por cumplida con la validación de la acción del trabajo realizado en las mesas de revisión de formatos y actualización de  hojas de vida de indicadores.</t>
  </si>
  <si>
    <t>El proceso de IVC no tiene plan de mejoramiento</t>
  </si>
  <si>
    <t>el proceso no tiene planes de mejoramiento pendiente</t>
  </si>
  <si>
    <t>Se adjunta acta de referentes estrategicos del mes de junio.</t>
  </si>
  <si>
    <t>Se adjunta actas del mes de julio, agosto,septiembre.</t>
  </si>
  <si>
    <t>Se presentan las 3 actas de referentes estratégicos</t>
  </si>
  <si>
    <t>Se adjunta actas del mes de octubre, noviembre,diciembre.</t>
  </si>
  <si>
    <t>1.2.Fortalecer los mecanismos de formación técnica especializada de las unidades bomberiles para el adecuado conocimiento, reducción y manejo en la gestión integral del riego contra incendio, los preparativos y atención de rescate en todas sus modalidades y la atención de incidentes con materiales peligrosos.​</t>
  </si>
  <si>
    <t>10. Educación Nacionalpara Bomberos</t>
  </si>
  <si>
    <t xml:space="preserve">Asesorías en temas de Educación Nacional </t>
  </si>
  <si>
    <t>Solicitudes  de asesoría realizadas</t>
  </si>
  <si>
    <t>No. Solicitudes de asesoría realizadas  / Solicitudes de asesoría recibidas * 100</t>
  </si>
  <si>
    <t>"Requerimientos realizados a través de correos, atención presencial y radicados, se tendra en cuenta las fechas de salidas"</t>
  </si>
  <si>
    <t xml:space="preserve">Se responde 21 requerimientos relacionados con temas de educacion </t>
  </si>
  <si>
    <t xml:space="preserve">No se evidencia la firma correspondiente en 1 respuestas de requerimientos  </t>
  </si>
  <si>
    <t xml:space="preserve">Se responde 46 requerimientos relacionados con temas de educacion </t>
  </si>
  <si>
    <t xml:space="preserve">Se da cumplimiento a la meta propuesta </t>
  </si>
  <si>
    <t xml:space="preserve">No se evidencia firma correspondeiente en 7 requerimientos </t>
  </si>
  <si>
    <t xml:space="preserve">Se realizaron 51 aseosrias en temas de Educación </t>
  </si>
  <si>
    <t>Se adjuntan respuestas</t>
  </si>
  <si>
    <t>Se evidencian 50 resgitrsos de respuestas</t>
  </si>
  <si>
    <t xml:space="preserve">Se responde 38 requerimientos relacionados con temas de educacion </t>
  </si>
  <si>
    <t xml:space="preserve">No se relacionan evidencias de esta actividad. </t>
  </si>
  <si>
    <t>Asesoría para la gestión de  solicitudes de reconocimiento de centros de entrenamiento de brigadas contraincendio.</t>
  </si>
  <si>
    <t xml:space="preserve">"Requerimientos realizados a través de correos, atención presencial y radicados, 
se tendra en cuenta las fechas de salidas"
</t>
  </si>
  <si>
    <t>Se recibieron 6 solicitudes relacionadas con el tramite de reconocimiento de centro de entrenamiento de brigadas contra incendios, de las cuales se atendieron 6</t>
  </si>
  <si>
    <t>Se recibieron 9 solicitudes relacionadas con el tramite de reconocimiento de centro de entrenamiento de brigadas contra incendios, de las cuales se atendieron las 6 solicitudes</t>
  </si>
  <si>
    <t>Se realizan 6 asesorias con relacion al reconocimiento de centro de entrenamiento de brigadas contra incendios</t>
  </si>
  <si>
    <t>se adjuntan oficios</t>
  </si>
  <si>
    <t>Se verifican las 6 comunicaciones con la asesoria brindada</t>
  </si>
  <si>
    <t>Se recibieron 4 solicitudes relacionadas con el tramite de reconocimiento de centro de entrenamiento de brigadas contra incendios, de las cuales se atendieron las 3 solicitudes</t>
  </si>
  <si>
    <t>Visitas de inspección para el reconocimiento de nuevos centros de entrenamiento de brigadas contra incendio</t>
  </si>
  <si>
    <t>Visitas de verificación de condiciones para el Reconocimientos de Centros de Formación de brigadas contra incendios realizadas</t>
  </si>
  <si>
    <t>No. De Visitas realizadas /No. De visitas Programadas * 100</t>
  </si>
  <si>
    <t>Informe de visita</t>
  </si>
  <si>
    <t>Para este periodo no se programan visitas debido a que las solicitudes no cumplen con los requisitos minimos para la programación</t>
  </si>
  <si>
    <t>se programarán una vez se cumpla con requisitos</t>
  </si>
  <si>
    <t>acorde a lo informado se reprogramara para el periodo en el que se pueda realizar la visita una vez sean subsanados los requisitos para tal fin</t>
  </si>
  <si>
    <t>No se evidencia informe de visita</t>
  </si>
  <si>
    <t xml:space="preserve">No se realiza visitas de verificación de condiciones para el Reconocimientos de Centros de Formación de brigadas contra incendios. </t>
  </si>
  <si>
    <t>sin avance, meta en rezago, no hay observaciones departe del proceso</t>
  </si>
  <si>
    <t xml:space="preserve">No se cumplio con la meta anual propuesta, pues ninguno de los periores anteriores se reporto la actividad. </t>
  </si>
  <si>
    <t>Visitar centros de entrenamiento de brigadas contra incendio para verificacion de condiciones para recertificación</t>
  </si>
  <si>
    <t>Visitas a CEBC para recertificación realizadas</t>
  </si>
  <si>
    <t xml:space="preserve">No. De Visitas realizadas </t>
  </si>
  <si>
    <t>No se realizaron las visitas de recertificación de centros de entrenamiento de brigadas contraincendios.</t>
  </si>
  <si>
    <t>Las visitas se realizarán durante el segundo semestre del 2024</t>
  </si>
  <si>
    <t>SE reprograma actividad para el siguiente trimestre</t>
  </si>
  <si>
    <t>No se realizan visitas a CEBC para recertificación se reprograman para los siguientes trimestres</t>
  </si>
  <si>
    <t>No se cumplio con la meta anual propuesta, pues ninguno de los periores anteriores se reporto la actividad. Las observaciones presentadas no son acorde con al periodo reportado.</t>
  </si>
  <si>
    <t>Gestionar las solicitudes de aval de instructores presentadas por los cuerpos de bomberos</t>
  </si>
  <si>
    <t>Gestión de solicitudes de Aval de instructores realizados</t>
  </si>
  <si>
    <t>Solicitudes gestionadas / solicitudes recibidas * 100</t>
  </si>
  <si>
    <t>Base de datos de solicitudes de avales tramitados</t>
  </si>
  <si>
    <t>Se recibieron 6 solicitudes relacionadas con el tramite de aval de instructor, de las cuales se avalaron 14 instructores.</t>
  </si>
  <si>
    <t>Se recibieron 40 solicitudes relacionadas con el tramite de aval de instructor, de las cuales se avalaron 53 instructores.</t>
  </si>
  <si>
    <t>Se atendieron 59 solicitudes de avales  de instructores de los cuerpos de bomberos</t>
  </si>
  <si>
    <t xml:space="preserve">Se adjunta base de datos y oficios </t>
  </si>
  <si>
    <t>Se verifican las 59 solicitudes en el trimestre</t>
  </si>
  <si>
    <t>Se recibieron 08 solicitudes relacionadas con el tramite de aval de instructor.</t>
  </si>
  <si>
    <t>Al revisar las evidencias se identifica la base de datos cumpliendo con la información establecida en los criterios de evaluaci</t>
  </si>
  <si>
    <t>Gestionar las solicitudes de registros para la realización de cursos de formación para bomberos presentadas por los cuerpos de bomberos</t>
  </si>
  <si>
    <t>Gestión de la solicitud de Registros de cursos realizadas</t>
  </si>
  <si>
    <t>Base de datos de solicitudes de registros tramitadas</t>
  </si>
  <si>
    <t>Se recibieron 125 solicitudes relacionadas con el tramite de aval de instructor, de las cuales se atendieron 125.</t>
  </si>
  <si>
    <t>Se recibieron 133 solicitudes relacionadas con el tramite de Registro de cursos de las cuales se atendieron 133.</t>
  </si>
  <si>
    <t xml:space="preserve">Se tramitan 129 solicitudes de registros de cursos, de las cuales se emiten 161 registros de los diferentes cursos de formacion de bomberos </t>
  </si>
  <si>
    <t xml:space="preserve">Se adjunta base de datos </t>
  </si>
  <si>
    <t>Se verifican las 129 solicitudes gestionadas en elperiodo</t>
  </si>
  <si>
    <t>Se recibieron 93 solicitudes relacionadas con el tramite de Registro de cursos de las cuales se atendieron 93.</t>
  </si>
  <si>
    <t xml:space="preserve">Gestionar la firma de certificados de los cursos realizados por los cuerpos de bomberos </t>
  </si>
  <si>
    <t>Gestión de Firma de certificados realizada</t>
  </si>
  <si>
    <t>Base de datos de solicitudes de firma de certificados tramitados</t>
  </si>
  <si>
    <t>Se firmaron 2623 solicitudes relacionadas con el tramite de firma de certificados.</t>
  </si>
  <si>
    <t>Se firmaron 2558 solicitudes relacionadas con el tramite de firma de certificados.</t>
  </si>
  <si>
    <t>Se tramitan 92 solicitudes de firma de certificados de cursos y 1999 certificacos firmados.</t>
  </si>
  <si>
    <t>Se evidencia base de datoa con el registro de las solicitudes gestionadas en el periodo</t>
  </si>
  <si>
    <t xml:space="preserve">Se tramitaron 138 solicitudes de firma de certificados </t>
  </si>
  <si>
    <t xml:space="preserve">Comités Educativos Nacional </t>
  </si>
  <si>
    <t>Comités Educativo Nacional realizados</t>
  </si>
  <si>
    <t xml:space="preserve">No. De Comités realizados  </t>
  </si>
  <si>
    <t>" Comités realizados se soporta por sesión con:
 Registro de asistencia
Se desarrolla un comité por semestre en modalidad virtual  o presencial
"</t>
  </si>
  <si>
    <t>Se programa para el ultimo trimestre</t>
  </si>
  <si>
    <t>Sin avance</t>
  </si>
  <si>
    <t>No se realiza esta actividad por reformulacion del comité</t>
  </si>
  <si>
    <t>Se prioriza para la siguiente igencia</t>
  </si>
  <si>
    <t>No se cumplio la Meta del cuatrenio, no se realizo reporte de la actividad en nunguno de los 4 trimestres.</t>
  </si>
  <si>
    <t>Socialización del proceso de educacion Nacional para bomberos en territorio  a comandantes de los cuerpos de bomberos por departamento</t>
  </si>
  <si>
    <t>Socializaciones del PENB a departamentos realizadas</t>
  </si>
  <si>
    <t xml:space="preserve">No. De socializaciones realizadas </t>
  </si>
  <si>
    <t>" Socializaciones del Manual de lineamientos  del PENB (registro de asistencia o grabación)
Trim I - 0
Trim II - 3
Trimestre III - 4
Trimestre IV - 3"</t>
  </si>
  <si>
    <t>No se cumple con la actividad, el resago se realizara en el ultimo semestre del año</t>
  </si>
  <si>
    <t>Actividad programada para el segundo semestre del 2024</t>
  </si>
  <si>
    <t>No se evidencia las socializaciones del Manual de lineamientos del PENB. El proceso no cumple con la actividad prevista</t>
  </si>
  <si>
    <t>Se realizan 3 socializaciones del proceso de con diferentes unidades de cuerpos de Bomberos de colombia</t>
  </si>
  <si>
    <t>Se adjuntan actas</t>
  </si>
  <si>
    <t>Se verifican 3 socializaciones a cuerpos de bomberos, para este trimestre se trae un rezago de 4 socializaciones, se observa que no se cumplen con  los criterios definidos de que las socializaciones tengan cobertura departamental</t>
  </si>
  <si>
    <t>Se realiza 4  socializaciones  con delegaciones del Valle del Cauca, Risaralda, Caldas, Quindio</t>
  </si>
  <si>
    <t xml:space="preserve">Se realiza  informe de Gestión de los riesgos de gestión </t>
  </si>
  <si>
    <t>Se realiza matriz de reporte de Gestion de riesgos</t>
  </si>
  <si>
    <t>se adjunta matrz</t>
  </si>
  <si>
    <t>Se adjunta matriz de riesgos reportada</t>
  </si>
  <si>
    <t>No Se realiza el reporte del primer cuatrimestre de acuerdo a la matriz PAAC de la entidad</t>
  </si>
  <si>
    <t xml:space="preserve">Queda en rezago para reportar en el segundo cuatrimestre </t>
  </si>
  <si>
    <t xml:space="preserve">No se evidencia la subida del reporte de la matriz del PAAC </t>
  </si>
  <si>
    <t>Se realiza Reporte de PAAC y acta de seguimiento</t>
  </si>
  <si>
    <t>Se adjunta acta</t>
  </si>
  <si>
    <t>Solo reprotan riesgos de corrupción</t>
  </si>
  <si>
    <t>Se reporta información parcial</t>
  </si>
  <si>
    <t>Se realiza el reporte de indicadores de acuerdo a la matriz</t>
  </si>
  <si>
    <t>Se participa en reuniones de socialización con Analisis y Mejora Continua</t>
  </si>
  <si>
    <t>Se adjunta plantilla</t>
  </si>
  <si>
    <t>Se evidencia acta de socialización de indicadores acorde con el trabajo realizado co mejora continua</t>
  </si>
  <si>
    <t>Se realizará la actualización de documentos por plan de mejora en el segudo semestre</t>
  </si>
  <si>
    <t>Se realizó la actualización en el año de 2023</t>
  </si>
  <si>
    <t xml:space="preserve">No se evidencian documentos actualizados </t>
  </si>
  <si>
    <t>No es requerido para este periodo</t>
  </si>
  <si>
    <t>No gestionan documentación cuando traen rezago del trimestre anterior</t>
  </si>
  <si>
    <t xml:space="preserve">Se realiza seguimiento a matriz de plan de mejora </t>
  </si>
  <si>
    <t>se adjunta matriz</t>
  </si>
  <si>
    <t>Reportan matriz plan de mejora</t>
  </si>
  <si>
    <t>Reportan plan de mejora procesos</t>
  </si>
  <si>
    <t xml:space="preserve">Se diligencia acta de referentes estratgicos </t>
  </si>
  <si>
    <t>Se realizan actas de referentes estretegicos</t>
  </si>
  <si>
    <t>No se encuentra evidencia de actas de referentes estratégicos, por lo cual no se puede evaluar como ejecutado</t>
  </si>
  <si>
    <t>No se encuentra evidencia</t>
  </si>
  <si>
    <t>Informe del trámite, estado de ejecución y legalización de las comisiones y/o desplazamientos  con cargo al Tesoro Público  presentados a la Alta Direccion</t>
  </si>
  <si>
    <t>Talento Humano</t>
  </si>
  <si>
    <t>Gestión Estratégica del Talento Humano</t>
  </si>
  <si>
    <t>Informe del trámite, estado de ejecución y legalización de las  de comisiones y/o desplazamientos  con cargo al Tesoro Público  presentados a la Alta Direccion</t>
  </si>
  <si>
    <t>No. de Informes presentados /No. De informes programados</t>
  </si>
  <si>
    <t xml:space="preserve">Informe del trámite, estado de ejecución y legalización de las  de comisiones y/o desplazamientos  con cargo al Tesoro Público  
1 informe mensual enviado a la Alta Dirección - OCI
</t>
  </si>
  <si>
    <t>Se anexa cuadro de la resolución pero no se han realizados los correspondientes informes trimestrales se realizara el del siguiente trimestre consolidando los dos primeros igualmente.</t>
  </si>
  <si>
    <t>No se evidencia el informe mensual enviado a la Alta Dirección-OCI</t>
  </si>
  <si>
    <t>Se realizo el envío de los informes a la OCI y a presidencia del tercer y cuarto bimestre</t>
  </si>
  <si>
    <t>Se adjuntan los correos electronicos</t>
  </si>
  <si>
    <t>de acuerdo con las evidencias y con los criterios definidos en el plan de acción se deben soportar tres informes de las comisiones uno mensual, solo se evidencia el mes de agosto y correos que no corresponden con los criterios para evaluación</t>
  </si>
  <si>
    <t>Se realizo el envío de los informes a la OCI y a presidencia del quinto  bimestre y el sexto bimestre se enviara en el mes de enero.</t>
  </si>
  <si>
    <t xml:space="preserve">Las evidencias cumplen con los criterios establecidos para el cumpliento de la meta. </t>
  </si>
  <si>
    <t>Nómina de los funcionarios de la DNBC preparada, proyectada y liquidada junto con prestaciones sociales y parafiscales</t>
  </si>
  <si>
    <t>Procesos de liquidación de Nómina, parafiscales y prestaciones sociales realizados en el periodo</t>
  </si>
  <si>
    <t>(No. de actividades ejecutadas / No. total de actividades programadas)*100</t>
  </si>
  <si>
    <t xml:space="preserve">Documentos mensuales  enviados al proceso de Gestión Financiera, mediante correo electrónico para su revisión, aprobación y correspondiente pago  (Nómina, parafiscales y prestaciones sociales)
Trimestre I:7 actividades
Trimestre II:6 actividades
Trimestre III:6 actividades
Trimestre IV:6 actividades
1. Correo mensual de remisión archivo nómina
2. Correo mensual de remision archivo de parafiscales
3. Correo de reporte del CHIP a gestion financiera en el mes de marzo </t>
  </si>
  <si>
    <t>Se realizó la nomina del mes de enero, febreo y marzo, con su correspondiente evidencia</t>
  </si>
  <si>
    <t>No se tiene evidencia de la transmisión del CHIP</t>
  </si>
  <si>
    <t>No se evidencian 1. Correo mensual de remisión archivo nómina
2. Correo mensual de remision archivo de parafiscales
3. Correo de reporte del CHIP a gestion financiera en el mes de marzo  
Se verifican los archivos de las nóminas y prestaciones de los tres meses, no se encuentran los parafiscales, se evalúa con el 50% toda vez que se definió remitir los correos de revisión a Gestión Financiera y no se evidencia.</t>
  </si>
  <si>
    <t>Se realizo la nomina del mes de abril, mayo y junio, con su correspondiente evidencia</t>
  </si>
  <si>
    <t>Se adjunta nomians del mes de abril, mayo y junio</t>
  </si>
  <si>
    <t>No se evidencia correo 1. Correo mensual de remisión archivo nómina de abril y junio
2. Correo mensual de remision archivo de parafiscales no se evidencian parafiscales</t>
  </si>
  <si>
    <t>Se realizo la nomina del mes de Julio, Agosto, Septiembre, con su correspondiente evidencia</t>
  </si>
  <si>
    <t>Se adjunta nomians del mes de Julio, Agosto, Septiembre</t>
  </si>
  <si>
    <t>Se evidencian en los soportes las nominas, parafiscales y prestaciones del trimestre</t>
  </si>
  <si>
    <t>Se realizo la nomina del mes de Octubre, Noviembre y Diciembre, con su correspondiente evidencia. 
Es de anotar que los parafiscales del mes de diciembre no se han liquidado al cierre del informe</t>
  </si>
  <si>
    <t>Se adjunta nomians del mes de Octubre, Noviembre y  Diciembre</t>
  </si>
  <si>
    <t>Plan Anual de Vacantes 2024</t>
  </si>
  <si>
    <t xml:space="preserve"> Plan Anual de Vacantes ejecutado</t>
  </si>
  <si>
    <t xml:space="preserve">Número de actividades realizados 
Trimestre I:01 actividades
Trimestre II: 1actividades
Trimestre III: 1 actividades
Trimestre IV: 1 actividades
1. Elaboracion del plan anual de vacantes 
2. Seguimiento trimestral en el documento excel del plan anual de vacantes </t>
  </si>
  <si>
    <t>Se elaboró el plan anual de vacantes</t>
  </si>
  <si>
    <t xml:space="preserve">No se evidencia la formalizacion del documento  del plan anual de vacantes, ni el seguimiento trimestral en el documento excel del plan anual de vacantes </t>
  </si>
  <si>
    <t>Se realizo el reporte del plan anual de vacante en el apliativo de la Función Pública</t>
  </si>
  <si>
    <t>Se adjunta evidencia.</t>
  </si>
  <si>
    <t>No se evidencia Seguimiento trimestral en el documento excel del plan anual de vacantes, pero se adjunta evidencia de presentacion de la Información al mes de mayo</t>
  </si>
  <si>
    <t>El plan se encuentra actualizado y se realizo un analisis de la planta actual adicional que se tiene en el proceso.</t>
  </si>
  <si>
    <t>Se adjunta documento de analisis de la revisión del plan anual de vacantes</t>
  </si>
  <si>
    <t>Se evidencia plan anual de vacantes con informe</t>
  </si>
  <si>
    <t xml:space="preserve">Se reviso el plan y no se hizo ninugun ajuste </t>
  </si>
  <si>
    <t>Acta de reunión</t>
  </si>
  <si>
    <t>Al revisar las avidencias de identifica actividad de seguimiento al documento del plan anual de vacantes, con ajustes desde el trimestre anterior, se reporta certificación relacionada conb el plan</t>
  </si>
  <si>
    <t>Plan de previsión del recurso humano 2024</t>
  </si>
  <si>
    <t xml:space="preserve"> Plan de previsión del recurso humano ejecutado</t>
  </si>
  <si>
    <t xml:space="preserve">Número de actividades realizados 
Trimestre I:01 actividades
Trimestre II:01 actividades
Trimestre III:01 actividades
Trimestre IV:01 actividades
1. Elaboracion del plan anual de prevision
2. Seguimiento  trimestral al documento excel del plan anual de prevision de talento humano </t>
  </si>
  <si>
    <t>Se elaboró el plan de recursos humanos</t>
  </si>
  <si>
    <t>No se evidencia la formalizacion del documento  del plan de recursos humanos, ni el seguimiento trimestral en el documento excel del plan previsión de recursos humanos</t>
  </si>
  <si>
    <t>Llegaron las listas de elegible</t>
  </si>
  <si>
    <t>Se realizaorn los actos adminsitrativos y los nombramientos en periodo de prueba</t>
  </si>
  <si>
    <t>No se evidncia Seguimiento  trimestral al documento excel del plan anual de prevision de talento humano, sin embargo se evidencian los actos de prevision del recurso humano en el periodo. Se recomienda diligenciar formato definidio por el proceso ´para seguimiento</t>
  </si>
  <si>
    <t>El plan se encuentra actualizado y se realizo un analisis del proceso de concurso adelantado..</t>
  </si>
  <si>
    <t>Se adjunta documento de analisis de la revisión del concurso actualmente - Se adjuntan resoluciones de nombramientos</t>
  </si>
  <si>
    <t>Se presenta plan de previsión de recurso humano</t>
  </si>
  <si>
    <t>Se anexa acta de reunion de seguimiento al plan de previsión del recurso humano ejecutado.</t>
  </si>
  <si>
    <t>Plan Estratégico de Talento 2024</t>
  </si>
  <si>
    <t>Plan estratégico de talento humano 2024 ejecutado</t>
  </si>
  <si>
    <t xml:space="preserve">Numero de actividades realizadas
Trimestre I: Soportes producto de la ejecucion de las  21 actividades
Elaboracion del plan esterategico de talento humano.
Trimestre II: Soportes producto de la ejecucion de las 30 actividades
Trimestre III: Soportes producto de la ejecucion de las 26 actividades
Trimestre IV: Soportes producto de la ejecucion de las 26 actividades
</t>
  </si>
  <si>
    <t>Se realizaron cinco actividades claves del primer trimestre</t>
  </si>
  <si>
    <t xml:space="preserve">No se evidencia el soporte de las 21 actividades y el plan estratégico no se encuentra formalizado </t>
  </si>
  <si>
    <t>Se han realizado diferentes atividades pero debido a los cambios de personal y de nuevos contratistas que no tenian el proceso no se ha podido avanzar en su totalidad.</t>
  </si>
  <si>
    <t>Se adjuntan evidencias de las diferentes actividades realizadas</t>
  </si>
  <si>
    <t>De acuerdo con las evidencias solo se ejecutan 15 actividades de las 30 planificadas</t>
  </si>
  <si>
    <t>Se han realizado 23 de las 26 actividades programadas</t>
  </si>
  <si>
    <t>Par las hojas de vida se encuentra en el siguiente link con permiso hasta el viernes 18 de octubre de 2024:  https://dnbcgovco-my.sharepoint.com/:f:/g/personal/recurso_humano_dnbc_gov_co/EnXvTsub-5lLoQ-0v29D49EB_5p3Ei39PBHivdjWhOjhpA?e=Wntz4C</t>
  </si>
  <si>
    <t>De acuerdo con el soporte de evidencias solo se pueden evaluar 14 acciones</t>
  </si>
  <si>
    <t>Se programaron 26 actividades  de las cuales se ejecutaron 24 de estas. Las otras 3 actividades no pudieron ser ejecutadas.</t>
  </si>
  <si>
    <t>Evidencias en la carpeta correspondiente</t>
  </si>
  <si>
    <t xml:space="preserve">Se evidencian 15 actividades de las 26 programadas para el trimestre, por lo cual no cumple la meta establecida en los criterios de evaluación. </t>
  </si>
  <si>
    <t>Plan de Bienestar e incentivos 2024</t>
  </si>
  <si>
    <t>Plan de bienestar 2024 ejecutado</t>
  </si>
  <si>
    <t>Trimestre I: Soportes producto de la ejecucion de las 4 actividades
Elaboracion del plan bienestar e incentivos de talento humano
Trimestre II: Soportes producto de la ejecucion de las 17 actividades
Trimestre III: Soportes producto de la ejecucion de las 13 actividades
Trimestre IV: Soportes producto de la ejecucion de las 19 actividades
1. Elaboracion del plan bienestar e incentivos de talento humano
2. Soportes de ejecución mensual a las actividades programadas para el plan de bienestar e incentivos, registro fotográfico y evaluacion</t>
  </si>
  <si>
    <t>Se realizaron 3 de las 4 actividades planeadas ( diagnostico, plan y compensatorio semana santa)</t>
  </si>
  <si>
    <t>No se realizo la conmemoración del día internaiconal del hombre ni mujer debido a la falta de personal.</t>
  </si>
  <si>
    <t>No se evidencia la formalizacion del documento de plan de bienestar e incentivos,ni Soportes de ejecución mensual de 2 actividades programadas para el plan de bienestar e incentivos, registro fotográfico y evaluacion</t>
  </si>
  <si>
    <t xml:space="preserve">Se realizaron 11 de las 17 actividades planeadas - </t>
  </si>
  <si>
    <t>No se realizó el taller Proyecto de vida puesto que en el mes que se debía desarrollar,  la contratación de los profesionales se encontraba en proceso, actualmente se encuentra en estructuración para realizarse en meses posteriores.
La actividad reconocimiento al mejor funcionario no se realizó porque se está a la espera que se le de cumplimiento al periodo de prueba de los funcionarios, según lo establecido  en las directrices de la función pública.
El establecimiento y realización de seguimiento al programa entorno saludable se reprogramó para el mes de octubre</t>
  </si>
  <si>
    <t>De acuerdo con las eviencias presentadas solo se encontro soporte de 5 de  las 17 actividades propuestas, es importamte tener en cuenta que la evidencia que se presente debe corresponder a lo definido por el proceso para evaluación</t>
  </si>
  <si>
    <t>Se programaron 13 actividades  de las cuales se ejecutaron 11 de estas. Las otras 2 actividades no pudieron ser ejecutadas. En el siguiente periodo se coordinará para darle cumplimiento a las actividades pendientes.</t>
  </si>
  <si>
    <t>Se envian evidencias.</t>
  </si>
  <si>
    <t xml:space="preserve">Se evidencian correos con caja de compensacion </t>
  </si>
  <si>
    <t xml:space="preserve">Se programaron 20 actividades  de las cuales se ejecutaron 14 de estas. Las otras 6 actividades no pudieron ser ejecutadas, el cierre de gestion incluida en estas actividades no se le dara cumpliento y  las otras 5 se coordinara para realizarlas. </t>
  </si>
  <si>
    <t xml:space="preserve">En la programación se tienen 19 actividades de las cuales se evidencian 4 actividades realizadas: Conmemoracion decenbrina, Cumpleaños del mes, dia del bombero, taller de artes y artesanias , las demas carpetas no tienen soportes ni evidencias. No cumple con los soportes de producto de la ejecucion de las 16 actividades, y no se evidencia el plan bienestar e incentivos de talento humano elaborado. No cumple con los criterios de evaluación. Ademas de venir con un resago de los periodos anteriores para el cumplimiento de la Meta anual. </t>
  </si>
  <si>
    <t>Plan anual de capacitación 2024</t>
  </si>
  <si>
    <t>Plan anual de capacitación 2024 ejecutado</t>
  </si>
  <si>
    <t xml:space="preserve">Trimestre I: Soportes producto de la ejecucion de las 4 capacitaciones
 1 Elaboracion del plan de capacitacion instuitucional 
Trimestre II: Soportes producto de la ejecucion de las 11 capacitaciones
Trimestre III: Soportes producto de la ejecucion de las 17 capacitaciones
Trimestre IV: Soportes producto de la ejecucion de las 7 capacitaciones
Evaluacion de impacto del plan de capacitacion institucional
1. Elaboracion del plan institucional capacitacion de talento humano
2. Soportes de ejecución mensual a las actividades programadas para el plan de capacitacion - Correo de invitación, memoria de la capacitación, listado de asistencia, evaluación
3. Evaluacion anual de impacto del plan de capacitación  </t>
  </si>
  <si>
    <t>Se tenian programadas 4 actividades se solicito el ajuste del plan de capacitación dejando en este I trimestre 5 actividades las cuales se ejecutaron en su totalidad</t>
  </si>
  <si>
    <t>Se tiene las evidencias de diagnostico, plan de capacitación, documento pic y actividades de sst</t>
  </si>
  <si>
    <t>Se tenian programadas 17 actividades se solicito el ajuste del plan de capacitación dejando en este II trimestre 10 actividades las cuales se ejecutaron en su totalidad</t>
  </si>
  <si>
    <t>se adjunta evidencias</t>
  </si>
  <si>
    <t>solo se evidencian 10 actividades de capacitacion de las 11 planificadas</t>
  </si>
  <si>
    <t>Se programaron 24 actividades de capacitación de las cuales se ejecutaron 19 de estas. Las otras 5 actividades no pudieron ser ejecutadas, toda vez que no se cuenta con recursos para el desarrollo de actividades de capacitación y por otro lado, el personal interno de la Entidad no tenia disponibilidad para cubrir estas capacitaciones. En el siguiente periodo se coordinará para darle cumplimiento a las actividades pendientes.</t>
  </si>
  <si>
    <t>Durante este periodo se incluyeron actividades de capacitación relacionadas al cumplimiento del Sistema de Gestión Ambiental, de igual forma de incluyeron actividades de inducción institucional e inducción de SST</t>
  </si>
  <si>
    <t>SE evidencian capacitacionhes</t>
  </si>
  <si>
    <t xml:space="preserve">Se programaron 15 actividades de capacitación de las cuales se ejecutaron 9  de estas. Las otras 6 actividades no pudieron ser ejecutadas, porque no se cuenta con recursos para el desarrollo de actividades de capacitación y por otro lado, el personal interno de la Entidad no tenia disponibilidad para cubrir estas capacitaciones. </t>
  </si>
  <si>
    <r>
      <t xml:space="preserve">Durante este periodo se incluyeron actividades de capacitación relacionadas al cumplimiento del Derechos y deberes d e los servidores publicos , tramite de PQRS, induccion institucional  y SST, </t>
    </r>
    <r>
      <rPr>
        <sz val="10"/>
        <color rgb="FF000000"/>
        <rFont val="Tahoma"/>
        <family val="2"/>
      </rPr>
      <t>SOCLALIZACION DEL CODIGO DE ETICA.</t>
    </r>
  </si>
  <si>
    <t xml:space="preserve">Se evidencian soportes producto de la ejecucion de las 9 capacitaciones. No cumple con la meta semestral ni anual. 
</t>
  </si>
  <si>
    <t>Sistema de Gestión de Seguridad y Salud en el Trabajo SG-SST 2023</t>
  </si>
  <si>
    <t>Plan de trabajo del Sistema de Gestión de Seguridad y Salud en el Trabajo SG-SST ejecutado en la vigencia 2024</t>
  </si>
  <si>
    <t>Trimestre I: Elaboracion del plan de trabajo anual del SGSST
Soportes producto de la ejecucion del PTA de 12 actividades 
Trimestre II: Soportes producto de la ejecucion 42 actvidades 
Trimestre III: Soportes producto de la ejecucion de 32 atividades  
Trimestre IV: Soportes producto de la ejecucion de 44 actividades 
1. Soportes de ejecución mensual a las actividades programadas en el cronograma del PTA</t>
  </si>
  <si>
    <t>De acuerdo al plan de acción se han ejecutado las actividades planificadas</t>
  </si>
  <si>
    <t>No se evidencia   lel total de actividades haciendo faltan  2 actividades programada: afiliaciones al sistema de riesgos en el mes de enero y reporte al Mininisterio de tabajo en 2024, se evidencia el realizado en dic de 2023</t>
  </si>
  <si>
    <t>Se evidenciasn 24 actividades de  las 42 planificadas</t>
  </si>
  <si>
    <t xml:space="preserve">Trimestre 3: Julio - Agosto
Conclusión: En el tercer trimestre, se logró un cumplimiento total del 97% en la ejecución de las actividades programadas ya que no se lleva acabo la auditoria por parte del proceso de evaluacion y control, Se continuó con la afiliación a riesgos laborales y se implementaron iniciativas de promoción y prevención, así como la conformación de la brigada de emergencias entre otras actividades. dando cumplimiento al plan de accion de SST. </t>
  </si>
  <si>
    <t xml:space="preserve">Se adjuntan evidencias en carpeta. </t>
  </si>
  <si>
    <t>Se presentan evidencias</t>
  </si>
  <si>
    <t xml:space="preserve">Trimestre 4: octubre, noviembre y diciembre
para este trimestre, se logró un cumplimiento total del 98% en la ejecución de las actividades programadas ya que no se lleva acabo la auditoria por parte del proceso de evaluacion y control, Se continuó con la afiliación a riesgos laborales y se implementaron iniciativas de promoción y prevención, así como la conformación de la brigada de emergencias entre otras actividades. dando cumplimiento al plan de accion de SST. </t>
  </si>
  <si>
    <t xml:space="preserve">De las 44 actividades establecidas para el cumplimiento de la meta para el trimestre, se evidencian soportes de 24 actividades correspondientes a: Inducción, Objeto SG SST, Rendicion de cuentas, Matriz, Sociodemografico, Prevencion en salud, Profesiograma, Matriz de peligros, Proteccion personal, Sttandares de procedimientos, Actividades PPRE, medicion de indicadores de estructuras. De este modo no cumple con los criterios de evaluacion establecidos. </t>
  </si>
  <si>
    <t xml:space="preserve"> Subdirección Administrativa y Financiera </t>
  </si>
  <si>
    <t>Se realizo el reporte de riesgos de gestión del 1 y segundo trimestre</t>
  </si>
  <si>
    <t>Se adjunta matriz y evidencias</t>
  </si>
  <si>
    <t>Se realizo el reporte de riesgos de gestión del 3 trimestre</t>
  </si>
  <si>
    <t>Se presenta matriz reporte riesgos</t>
  </si>
  <si>
    <t>Se realizo la nomina del mes de enero a marzo  con su correspondiente evidencia</t>
  </si>
  <si>
    <t>Se adjunta nomina correspondiente</t>
  </si>
  <si>
    <t xml:space="preserve">Se reporta PAAC </t>
  </si>
  <si>
    <t>Se realizo la correspondiente seguimiento y monitoreo del PAAC</t>
  </si>
  <si>
    <t>Se adjunta documento y correo electronico</t>
  </si>
  <si>
    <t>Se verifica informacion reporte PAAC</t>
  </si>
  <si>
    <t>Se reporta informacion parcial</t>
  </si>
  <si>
    <t>Esta planeado para otro trimestre</t>
  </si>
  <si>
    <t xml:space="preserve">El resultado no es acorde a lo requerido </t>
  </si>
  <si>
    <t>Se realizo la elaboración del formato de seguimiento de indicadores</t>
  </si>
  <si>
    <t>se adjunta matriz de seguimietno de indicadores</t>
  </si>
  <si>
    <t>se adjunta matriz de seguimietno de indicadores sin incluir septiembre de capacitación y SST debido a que todavia se encuentra en consolidación.</t>
  </si>
  <si>
    <t>Se avanza mesas de trabajo con mejora continua</t>
  </si>
  <si>
    <t>Gestor del proceso</t>
  </si>
  <si>
    <t xml:space="preserve">Trimestre II: Procedimiento de capacitación, afiliacion a ARL, Procedimiento, nomina, incapacidades, procedimiento interno para el manejo y declaración de conflictos de intereses
  Trimestre III: situaciones administrativas, ingreso y retiro de funcionarios 
Trimestre IV:EDL </t>
  </si>
  <si>
    <t>Se esta realizando la revisión de los procedimientos de MN-TH-10 Sistema Gestión Seguridad y Salud en el Trabajo , PC-TH-16 Realización Exámenes Médicos Ocupacionales V2, Plan Trabajo Anual SG-SST V2, POLITICA SST V4, PVE Prevención Riesgo Auditivo V1, PVE Prevención Riesgo Biológico V1, PVE Visual V1.</t>
  </si>
  <si>
    <t>Documento en revisión</t>
  </si>
  <si>
    <t>Documentos en revision pendiente formalizacion siguiente trimestre</t>
  </si>
  <si>
    <t>Se actualizaron procedimientos de MN-TH-10 Sistema Gestión Seguridad y Salud en el Trabajo , PC-TH-16 Realización Exámenes Médicos Ocupacionales V2, Plan Trabajo Anual SG-SST V2, POLITICA SST V4, PVE Prevención Riesgo Auditivo V1, PVE Prevención Riesgo Biológico V1, PVE Visual V1.</t>
  </si>
  <si>
    <t>se validan evidencias, además Se da por cumplida con la validación de la acción del trabajo realizado en las mesas de revisión de formatos y actualización de  hojas de vida de indicadores.</t>
  </si>
  <si>
    <t xml:space="preserve">No se tiene evidencia del primer trimestre </t>
  </si>
  <si>
    <t>Se realizo la actalización de los diferentes planes de mejoramiento para anlisis de la OCI y demas instancias.</t>
  </si>
  <si>
    <t>Se adjuntan las matrices</t>
  </si>
  <si>
    <t>*Se realizo consolidación de los planes de mejoramiento del proceso de TH para su trabajo.
*Se realizo la acción del numeal 9 de la auditoria interna del año 2023 sobre solicitudes de comisiones
*Inclusión dentro de la lista de chequeo el diligenciamiento del perfil sociodemografico</t>
  </si>
  <si>
    <t>* Se adjunta matriz consolidada.
*se adjunta presentación
*Lista de chequeo</t>
  </si>
  <si>
    <t>Se recibe reporte</t>
  </si>
  <si>
    <t>Se realizo la revisión de los hallazgos y se han diligenciado los campos que se pueden dar cierre a diciembre del año 2024 o enero del año 2025.</t>
  </si>
  <si>
    <t>Se esta realizando la revisión de todos los hallazgos y realizando la trazabilidad de cada uno de ellos con el fin de darle el cierre a la fecha nos encontramos todavaia en la revisión que se espera culminar en el mes de diciembre a enero del año 2025.</t>
  </si>
  <si>
    <t>Se realizo la correspondiente reporte del primer semestre</t>
  </si>
  <si>
    <t>Se realizo la correspondiente reporte del 3 trimestre</t>
  </si>
  <si>
    <t>Se verifican las actas del trimestre</t>
  </si>
  <si>
    <t>Se realizo la correspondiente reporte del 4 trimestre</t>
  </si>
  <si>
    <t>Se evidencia acta de lo stres periodos en un solo diligenciamiento no cumple con los criterios ni el propósito de la acción</t>
  </si>
  <si>
    <t>Se realizao la transferencia al proceso de gestión documental</t>
  </si>
  <si>
    <t>Formato de inventario de transferencia documental</t>
  </si>
  <si>
    <t>Se videncia trasnferencias</t>
  </si>
  <si>
    <t xml:space="preserve">Informe de procesos disciplinarios </t>
  </si>
  <si>
    <t>Informes de procesos disciplinarios de la entidad realizados</t>
  </si>
  <si>
    <t>Informes realizados /informes programados</t>
  </si>
  <si>
    <t>Informe Semestral radicado y socializado al director.
Se presentara como evidencia la lista de asistencia de la reunión de socialización</t>
  </si>
  <si>
    <t>Se ejecutó en el tercer trimestre de 2024</t>
  </si>
  <si>
    <t>El informe correspondeinte al primer semestre fue presentado el 7 de julio de 2024</t>
  </si>
  <si>
    <t>eJE</t>
  </si>
  <si>
    <t>No aplica la presentación del informe para este trimestre</t>
  </si>
  <si>
    <t>De acuerdo con el reporte del trimestre anterior el  informe se presento el 1 de julio</t>
  </si>
  <si>
    <t>Se presentaron y socializaron los dos informes semetrales relacionados con los procesos disciplinarios adelantados</t>
  </si>
  <si>
    <t>Se anexa evidencia del informe y el listado de asistencia</t>
  </si>
  <si>
    <t xml:space="preserve">Se presenta como evidencia el informe y la lista de asistencia de la reunión de socialización. Cumplinedo con los criterios de evaluación. </t>
  </si>
  <si>
    <t>Capacitaciones de prevencion en conductas disciplinables</t>
  </si>
  <si>
    <t>Integridad</t>
  </si>
  <si>
    <t>Capacitaciones de prevencion en conductas disciplinables realizadas</t>
  </si>
  <si>
    <t>No. De capacitaciones realizadas</t>
  </si>
  <si>
    <t>lista de asistencia de capacitacion y material socializado
Junio y Octubre</t>
  </si>
  <si>
    <t>Se encuentran programadas para el 21 de agosto y el 20 de noviembre</t>
  </si>
  <si>
    <t xml:space="preserve">No se evidencia lista de asistencia de capacitación y materail socializado </t>
  </si>
  <si>
    <t>Las capacitaciones se encuentran porgramadas para 24 de octubre y 21 de noviembre, lo anterior teniendo en cuenta la llegada de nuevos funcionarios.</t>
  </si>
  <si>
    <t>Se anexa evidencia</t>
  </si>
  <si>
    <t>De acuerdo con lo informado el trimestre anterior se tenia prevista un aprimera capacitación en el mes de agosto y la reprograman para el ultimo trimestre, producto en rezago</t>
  </si>
  <si>
    <t>Se realizaron las dos capacitaciones progrmadas para la vigencia 2024, la primera se realizó sobre derechos y deberes de los servidores públicos y la segunda sobre PQRSD</t>
  </si>
  <si>
    <t>Se anexa evidencia de la citación de la capacitación, listado de asistencia y evaluación de la misma</t>
  </si>
  <si>
    <t xml:space="preserve">lista de asistencia de capacitacion y material socializado
Julio y Octubre. Cumpliendo con los criterios de evaluación. </t>
  </si>
  <si>
    <t>Acciones de prevención en asuntos disciplinarios</t>
  </si>
  <si>
    <t>Capsulas informativas en prevención disciplinaria</t>
  </si>
  <si>
    <t>No. Capsulas informativas en prevención disciplinaria realizadas/No. Capsulas informativas en prevención disciplinaria programadas</t>
  </si>
  <si>
    <t>Material diseñado y evidencia de socilización por correo a los servidores públicos y contratistas de la entidad</t>
  </si>
  <si>
    <t>Se encuentran programadas para el tercer y cuarto trimestre</t>
  </si>
  <si>
    <t xml:space="preserve">Se evidencia el material pero no la socialización de este </t>
  </si>
  <si>
    <t xml:space="preserve">Se han proferido dos acciones preventivas, las cuales serán socializadas en las capacitaciones programadas. </t>
  </si>
  <si>
    <t>La acción no peresenta avance la evidencia no corresponde al producto ni a los criterios</t>
  </si>
  <si>
    <t>Producto de las capacitaciones adelantadas, se remitió a los respectivos correos electrónicos de servidores y colaboradores de la entidad las cápsulas en materia dsiciplinaria</t>
  </si>
  <si>
    <t>Se anexa piezas enviadas a los correos electrónicos, correo electrónico de remisión y socialización de las mismas.</t>
  </si>
  <si>
    <t xml:space="preserve">Se presenta como evidencia el material diseñado y evidencia de socilización por correo a los servidores públicos y contratistas de la entidad; capsulas informativas en prevencion disciplinaria. Cumpliendo con los criterios de evaluación </t>
  </si>
  <si>
    <t>Se presentó informe del primer semestre</t>
  </si>
  <si>
    <t>Se anexa excel con el reporte</t>
  </si>
  <si>
    <t xml:space="preserve">Se presenta el informe del III Trimestre </t>
  </si>
  <si>
    <t>Se presenta informe del IV trimestre de la matríz de riesgos de gestión</t>
  </si>
  <si>
    <t>Matriz en excel diligenciada</t>
  </si>
  <si>
    <t>Información reportada en el mes de abril</t>
  </si>
  <si>
    <t>SE presento PAAC</t>
  </si>
  <si>
    <t>sin reporte</t>
  </si>
  <si>
    <t>El proceso no tiene actividades asociadas al PAAC, se debe tener en cuenta que las publicaciones realizadas en la página web no son permanentes, son esporádicas.</t>
  </si>
  <si>
    <t>Sin Evidencia</t>
  </si>
  <si>
    <t xml:space="preserve">No reportan información riesgos de corrupción </t>
  </si>
  <si>
    <t>Se anexa el reporte de indicadores de seguimiento</t>
  </si>
  <si>
    <t>Se anexa excel con evidencia</t>
  </si>
  <si>
    <t>Se presenta informe de Indicadores de Gestión, se realizó la verificación del indicador del proceso y se actualizó.</t>
  </si>
  <si>
    <t>Se anexa seguimiento y el acta de acompañamiento</t>
  </si>
  <si>
    <t>Se adelanto mesas de trabajo con mejora continua en revisión de indicadores</t>
  </si>
  <si>
    <t>Se presenta informe de Indicadores de Gestión, correspondiente al 4 trimestre</t>
  </si>
  <si>
    <t>Trimestre II 50% Trimestre IV 50%</t>
  </si>
  <si>
    <t>Se actualizó el procedimiento ordinario de asuntos disciplinarios</t>
  </si>
  <si>
    <t>Se anexa la evidencia respectiva</t>
  </si>
  <si>
    <t>No se evidencia el documento actualizado ni formalizado ante SIGE</t>
  </si>
  <si>
    <t>No aplica</t>
  </si>
  <si>
    <t>Sin avances en el producto</t>
  </si>
  <si>
    <t>El procedimiento se encuentra vigente normativamente</t>
  </si>
  <si>
    <t>Se anexan los procedimientos vigentes</t>
  </si>
  <si>
    <t>Se anexa plan de mejoramiento presentado</t>
  </si>
  <si>
    <t xml:space="preserve">No se evidencia el acta de referentes estrátegicos del reporte del avance del plan de mejoramiento, ni las evidencias    </t>
  </si>
  <si>
    <t>Se suscribe Plan de mejoramiento con corte a 30 de junio</t>
  </si>
  <si>
    <t>Se anexa excel presentado</t>
  </si>
  <si>
    <t>Se presenta matriz PM</t>
  </si>
  <si>
    <t>Se presentan los avances al plan de mejora institucional y al plan de mejoramiento de la CGR</t>
  </si>
  <si>
    <t>Se anexan cuadros en excel diligenciados y remitidos</t>
  </si>
  <si>
    <t>Se elaboró el acta de seguimiento a los refrentes estratégicos</t>
  </si>
  <si>
    <t>Acta firmada</t>
  </si>
  <si>
    <t xml:space="preserve">Se suscriben las actas de seguimiento </t>
  </si>
  <si>
    <t>Se anexan las actas respectivas a Julio, Agosto y Septiembre</t>
  </si>
  <si>
    <t>Se anexan actas de seguimiento de octubre, noviembre y diciembre</t>
  </si>
  <si>
    <t>Se evidencian actas de refrentes</t>
  </si>
  <si>
    <t xml:space="preserve">No aplica </t>
  </si>
  <si>
    <t>No se da traslado a gestión documental, en razón de que ls dos últimas vingencias, por ley deben permanecer en el archivo de gestión.</t>
  </si>
  <si>
    <t xml:space="preserve"> Proceso anual de desagregación presupuestal de la DNBC  de los recursos de inversión y funcionamiento.</t>
  </si>
  <si>
    <t>Desagregacion Presupuestal 2024 generada</t>
  </si>
  <si>
    <t>Actividad de desagregación ejecutada/Actividad Programada</t>
  </si>
  <si>
    <t xml:space="preserve">1. Generar acto administrativo de desagregación presupuestal. 
2. Registro en el Aplicativo SIIF Nacion II del pesupuesto desagregado. 
3. Presentación de información para la elaboración del PAA. </t>
  </si>
  <si>
    <t>En el mes de Enero de 2024, se ejecutaron las tres actividades descritas en los criterios de evaluación (Acto Adtivo., Registro en el SIIF, Presentaciion para elaborar el PAA.</t>
  </si>
  <si>
    <t xml:space="preserve">En el mes de enero, se ejecutaron las tres actividades descritas en los criterios de evaluación (Acto Adtivo., Registro en el SIIF, Presentación para elaborar el PAA.
</t>
  </si>
  <si>
    <t>Se adjunta resolución y acta de desagregación presupuestal.</t>
  </si>
  <si>
    <t>Reportes de ejecución presupuestal emitidos por el SIIF y presentados a los equipos de trabajo de la DNBC</t>
  </si>
  <si>
    <t>Reportes de Ejecución Presupuestal generadas por el sistema SIIF</t>
  </si>
  <si>
    <t xml:space="preserve">No. De reportes SIIF generados/ No. De reportes programados </t>
  </si>
  <si>
    <t xml:space="preserve">Reporte mes vencido de la ejecución presupuestal, generado del aplicativo SIIF y remitido por correo al Director, Subdirectores y Gestores de los procesos de la entidad. </t>
  </si>
  <si>
    <t>Se generaron los informes correspondientes a la ejecución presupuestal de Enero, Febrero y Marzo y se envió por correo el dia 08 de Mayo y los meses de Abril y Mayo de 2024 se enviaron por correo en Junio 2024.</t>
  </si>
  <si>
    <t>Se generaron los informes correspondientes a la ejecución presupuestal de Junio, Julio y Agosto de 2024.</t>
  </si>
  <si>
    <t>Se evidencian los tres reportes del periodo</t>
  </si>
  <si>
    <t>Se generaron los informes correspondientes a la ejecución presupuestal de octubrey noviembre, quedando evidencia de   envió por correo el dia 19 de noviembre y 6 de diciembre de 2024, respectivamente.</t>
  </si>
  <si>
    <t>Se adjunta pantallazos de correos de ejecución presupestal y libro de excel de las ejecuciones</t>
  </si>
  <si>
    <t>Las evidencias cumplen con lo establecido en los criterios de evaluación.</t>
  </si>
  <si>
    <t xml:space="preserve">Informes  de ejecución presupuestal de la DNBC. </t>
  </si>
  <si>
    <t>Informesde Ejecución Presupuestal y de PAC realizados y presentados ante Comité Directivo</t>
  </si>
  <si>
    <t>No. De Informes de ejecución presentados/No. De informes programados</t>
  </si>
  <si>
    <t>Presentar un informe mensual al Comité Directivo, con el Avance de Ejecución Presupuestal y la Ejecución de PAC de la entidad, con generación de alertas y recomendaciones.</t>
  </si>
  <si>
    <t>En en primer trimestre se generaron los informes de ejecución PAC ( Enero, Febrero y Marzo de 2024), y se presento en el Comité Directivo.</t>
  </si>
  <si>
    <t>En en segundo trimestre se generaron los informes de ejecución PAC (  abril , Mayo  y junio de 2024), y se presento en el Comité Directivo.</t>
  </si>
  <si>
    <t>En el tercer trimestre se generaron los informes de ejecución PAC (  junio , julio  y agosto de 2024), y se presentó en el Comité Directivo.</t>
  </si>
  <si>
    <t>Se presenta la informacfión de ejecución de los tres meses</t>
  </si>
  <si>
    <t xml:space="preserve">En en el tercer trimestre se generaron los informes de ejecución PAC (  octubre  , noviembre y diciembre 15 de 2024), y se presento en el Comité Directivo.
</t>
  </si>
  <si>
    <t>Se adjuntan informes presentados.</t>
  </si>
  <si>
    <t>Transmisión  Estados Financieros en el CHIP de la Contaduría General de la Nación.</t>
  </si>
  <si>
    <t>Estados Financieros de la entidad transmitidos a la Contaduría General de la Nación a través del CHIP</t>
  </si>
  <si>
    <t>No. De estados Financieros transmitidos/ No. De estados financieros programados</t>
  </si>
  <si>
    <t>Realizar la transmisión de los estados financieros de forma trimestral de acuerdo con el calendario emitido por la Contaduría General de la Nación.
Evidencia: Certificado de transmisión e informe de estados financieros presentado. Para el primer trimestre de 2024 se presenta la transmisaion de los estados financieros de 2023,para el segundo trimestre de 2024 se presentaran la transmision de los estados financieros del primer trimestre de 2024, para el tercer trimestre de 2024 se presentaran la transmision de los estados financieros del segundo trimestre de 2024, para el cuarto trimestre de 2024 se presentaran la transmision de los estados financieros del tercer trimestre de 2024.</t>
  </si>
  <si>
    <t xml:space="preserve">En en primer trimestre  se transmitió el cierre financiero a Diciembre de 2023, de acuerdo al calendario establecido por la CGN. </t>
  </si>
  <si>
    <t xml:space="preserve">En en segundo trimestre  se transmitió el cierre contable a Marzo 2024, de acuerdo al calendario establecido por la CGN. </t>
  </si>
  <si>
    <t>Seevidencia proceso de transmisióny generación de archivos</t>
  </si>
  <si>
    <t>En en el tercer trimestre  se transmitió el cierre contable de abril a junio, de acuerdo al calendario establecido por la CGN. Los informes correspondiente al tercer trimestre de 2024 se encuentran en proceso de elaboración y su fecha limite de transmisión es el próximo 31 de octubre.</t>
  </si>
  <si>
    <t>Se presentan las evidencias de presentacion de los estados financieros en el chip de la contaduría</t>
  </si>
  <si>
    <t xml:space="preserve">En en último trimestre  no se transmitieron EE FF al  CHIP, teniendo en cuenta que el calendario establecido por la CGN, corresponde reportar en el mes de febrero. </t>
  </si>
  <si>
    <t>Se adjunta pantallazo de reporte de EEFF al CHIP, con corte a 30 de septiembre de 2024.</t>
  </si>
  <si>
    <t>Las evidencias cumplen con lo establecido en los criterios de evalución.</t>
  </si>
  <si>
    <t>Gestionar recursos PAC ante el Ministerio de Hacenda</t>
  </si>
  <si>
    <t xml:space="preserve">Solicitudes de PAC presentadas al MHCP - Tesoro Nacional </t>
  </si>
  <si>
    <t>No. De Solicitudes gestionadas/No. De solicitudes programadas</t>
  </si>
  <si>
    <t>El proceso de solicitud PAC incluye:
1, Correo de Financiera a las Areas recordando el envio de PAC requerido.
2, Seguimiento de las solicitudes de PAC requeridas.(Hoja de cálculo mensual actualizada)
3, Cargar las solicitudes de PAC en el SIIF</t>
  </si>
  <si>
    <t>En los meses de Enero, Febrero y Marzo 2024, se   envía por correo a las dependencias, el calendario de PAC; donde se informa las fechas para las solicitudes de PAC requerido. En el Comité Directivo, se presenta la ejecucion del PAC y se informa que dependencias .</t>
  </si>
  <si>
    <t>El resultado está acorde con la actividad presupuestada para este periodo</t>
  </si>
  <si>
    <t>En los meses de, Abril , Mayo y junio 2024, se   envía por correo a las dependencias, el calendario de PAC; donde se informa las fechas para las solicitudes de PAC requerido. En el Comité Directivo, se presenta la ejecucion del PAC y se informa que dependencias .</t>
  </si>
  <si>
    <t>En los meses de junio, julio y agosto de  2024, se   envía por correo a las dependencias, el calendario de PAC; donde se informa las fechas para las solicitudes de PAC requerido. En el Comité Directivo, se presenta la ejecucion del PAC y se informa que dependencias .</t>
  </si>
  <si>
    <t>Se evidencia la gestión frente a solicitudes del PAC del periodo, sin embargo se recomienda tener en cuenta las evidencias que se definieron en los criterios para evaluar</t>
  </si>
  <si>
    <t xml:space="preserve">En los meses de, octubre ,noviembre  y diciembre 15, 2024, se   envía por correo a las dependencias, el calendario de PAC; donde se informa las fechas para las solicitudes de PAC requerido. En el Comité Directivo, se presenta la ejecucion del PAC y se informa que dependencias .
</t>
  </si>
  <si>
    <t>Se adjunta solicitudes de PAC del último trimestre.</t>
  </si>
  <si>
    <t xml:space="preserve">Se identifica la evidencia Seguimiento de las solicitudes de PAC requeridas.(Hoja de cálculo mensual actualizada) sin embargo falta evidencia de correo de financiera a las Areas recordando el envio de PAC requerido, y la evidencia del cargue de las solicitudes de PAC en el SIIF tal como se plantea en los criterios de evalución. </t>
  </si>
  <si>
    <t>Imputaciones de ingresos en el sistema SIIF</t>
  </si>
  <si>
    <t>Imputacion de ingresos a la sub unidad del Fondo Nacional de Bomebros</t>
  </si>
  <si>
    <t xml:space="preserve">Actividad de imputacion de ingresos </t>
  </si>
  <si>
    <t xml:space="preserve">1. Reporte de Imputacion de ingresos en el Aplicativo SIIF Nacion II, mes vencido; en enero se aplica la vigencia anterior y 11 meses de la vigencia actual. </t>
  </si>
  <si>
    <t>En en primer trimestre se generaron los informes de imputacion de ingresos ( Enero, Febrero y Marzo de 2024) en el aplicativo SIIF.</t>
  </si>
  <si>
    <t>En en segundo trimestre se generaron los informes de imputacion de ingresos (Abril. Mayo y Junio de 2024) en el aplicativo SIIF.</t>
  </si>
  <si>
    <t>En en el tercer trimestre se generaron los informes de imputación de ingresos ( Junio, julio y agosto de 2024) en el aplicativo SIIF.</t>
  </si>
  <si>
    <t>Se evidencia matriz con imputacion de ingresos del periodo</t>
  </si>
  <si>
    <t>En en primer trimestre se generaron los informes de imputacion de ingresos ( octubre y noviembre de 2024) en el aplicativo SIIF.</t>
  </si>
  <si>
    <t xml:space="preserve">La imputación de ingresos correspondiente al mes de diciembre en el SIIF, se reporta en los primeros días del mes de enero.
</t>
  </si>
  <si>
    <t>Para el segundo trimestre de 2024, gestión financiera actualizó y reportó la Matriz de Riesgos de Gestión.</t>
  </si>
  <si>
    <t>El resultado no está acorde con las actividades planteadas para el periodo, teniendo en cuenta que no adjuntaron los procedimiento actualizados sino solo un pantallazo de sus carpetas</t>
  </si>
  <si>
    <t>Para el tercer trimestre de 2024, gestión financiera actualizó y reportó la Matriz de Riesgos de Gestión.</t>
  </si>
  <si>
    <t>Se presenta evidencias del reporte</t>
  </si>
  <si>
    <t>Para el último trimestre de 2024, gestión financiera actualizó y reportó la Matriz de Riesgos de Gestión.</t>
  </si>
  <si>
    <t>Se adjunta  matriz reportada.</t>
  </si>
  <si>
    <t>Para el segundo trimestre de 2024, gestión financiera actualizó y reportó la Matriz de Riesgos de Corrupción</t>
  </si>
  <si>
    <t>Para el tercer trimestre de 2024, gestión financiera actualizó y reportó la Matriz de Riesgos de Corrupción .https://dnbc.gov.co/informacion-financiera-y-contable/</t>
  </si>
  <si>
    <t>Se presenta evidencia de reporte PAAC</t>
  </si>
  <si>
    <t>Para el tercer trimestre de 2024, gestión financiera actualizó y reportó la Matriz de Riesgos de Corrupción</t>
  </si>
  <si>
    <t>Se adjunta matriz actualizada.</t>
  </si>
  <si>
    <t>Reportan PAAC</t>
  </si>
  <si>
    <t>Para el segundo trimestre de 2024, gestión financiera actualizó y reportó la medición de indicadores de gestión</t>
  </si>
  <si>
    <t>Para el tercer trimestre de 2024, gestión financiera actualizó y reportó la medición de indicadores de gestión.</t>
  </si>
  <si>
    <t>Se adelantaron mesa de trabajo de revisióny actualización de indicadores</t>
  </si>
  <si>
    <t>Para el tercer trimestre de 2024, gestión financiera actualizó y reportó la medición de indicadores de gestión</t>
  </si>
  <si>
    <t>Trimestre II: Procedimiento de traslados presupuestales</t>
  </si>
  <si>
    <t xml:space="preserve">Sin avance </t>
  </si>
  <si>
    <t xml:space="preserve">Gestión financiera actualizó y socializó los procedimientos de Central de Cuentas, Obligaciones y actualizó los formatos de CDP, Lista de Chequeo y se formularon los procedimientos de Endoso, Operaciones Reciprocas. Además Se da por cumplida con la validación de la acción del trabajo realizado en las mesas de revisión de formatos y actualización de  hojas de vida de indicadores.
</t>
  </si>
  <si>
    <t>Se adjunta evidencias de actualización y socialización</t>
  </si>
  <si>
    <t>Se validan evidencas</t>
  </si>
  <si>
    <t>Para el segundo trimestre, la oficina de gestión financiera presentó el Plan de Mejoramiento de la CGR con corte a 30 de junio de la vigencia 2024, con las respectivas evidencias solicitades en acciones de mejora.</t>
  </si>
  <si>
    <t>Para el tercer trimestre no se presentan avances para el Plan de Mejoramiento de la CGR, teniendo en cuenta que debe cargarse para el mes de diciembre.</t>
  </si>
  <si>
    <t>Se verifica con MC reporte de plan de mejora institucionhal con corte a 30 de junio</t>
  </si>
  <si>
    <t>Para el último trimestre, la oficina de gestión financiera presentó el Plan de Mejoramiento de la CGR con corte a 30 de junio de la vigencia 2024, con las respectivas evidencias solicitades en acciones de mejora.</t>
  </si>
  <si>
    <t>Se adjunta matriz de plan de mejoramiento.</t>
  </si>
  <si>
    <t>Reportan PM procesos y de CGR</t>
  </si>
  <si>
    <t>Para el segundo trimestre, el perfil de  financiera realizó las actas de referentes estratégicos.</t>
  </si>
  <si>
    <t>SE suben actas sin firma</t>
  </si>
  <si>
    <t>Para el tercer trimestre, el perfil de  financiera realizó las actas de referentes estratégicos.</t>
  </si>
  <si>
    <t>Se evidencias actas de referentes estratégicos</t>
  </si>
  <si>
    <t>Para el último trimestre, el perfil de  financiera realizó las actas de referentes estratégicos.</t>
  </si>
  <si>
    <t>Se adjuntan actas de referentes estratégicos.</t>
  </si>
  <si>
    <t>SE evidencian actas de dos meses de tres</t>
  </si>
  <si>
    <t>Para el tercer trimestre la oficina de gestión financiera no ha realizado transferencia documental, toda vez que esta actividad se genera finalizada la vigencia 2024.</t>
  </si>
  <si>
    <t>Para el último trimestre Gestión Financiera, realizó transferencia documental  de 1020 documentos ,al responsable de gestión documental.</t>
  </si>
  <si>
    <t>Se adjunta listado de documentos trnasferidos.</t>
  </si>
  <si>
    <t xml:space="preserve">Capacitaciones para el conocimiento del PIGA y sus programas </t>
  </si>
  <si>
    <t>Capacitaciones sobre el Plan Institucional de Gestión Ambiental realizadas</t>
  </si>
  <si>
    <t>(No. de Capacitaciones realizadas/Meta)*100%</t>
  </si>
  <si>
    <t>Evidencias 
Material asociado (fotos, diapositivas,etc) y listas de asistencia.
Trimestre II: 1 socializaciones
Trimestre III: 2 socializaciones
Trimestre IV: 2 socializaciones
*Actividad Plan de Mejoramiento Interno</t>
  </si>
  <si>
    <t>No se reporta avance</t>
  </si>
  <si>
    <t xml:space="preserve">Se adjunta soportes de las sapacitaciones efectuadas respecto conocimiento del PIGA y sus programas </t>
  </si>
  <si>
    <t>Se verifican presentaciones de Ahorro agua y energia, residuos sólidos, plan de eficiencoia adminstrativa y cero papel, lista de asistencia de residuos solidos, se modifrica porcentaje de progarmación para validar gestión por rezago del periodo anterior.</t>
  </si>
  <si>
    <t xml:space="preserve">Se adjunta soportes de las capacitaciones efectuadas respecto conocimiento del PIGA y sus programas </t>
  </si>
  <si>
    <t>La capacitaciones se efecutaron en el mes de agosto</t>
  </si>
  <si>
    <t xml:space="preserve">Informes trimestrales de Austeridad </t>
  </si>
  <si>
    <t>Informes trimestrales de austeridad elaborados y presentados</t>
  </si>
  <si>
    <t>(No. de informes presentados/Meta)*100%</t>
  </si>
  <si>
    <t>Informe Trimestral de austeridad presentado a la 3ra. Linea de defensa.
Trim I: Informe correspondiente al IV trimestre de 2023.
Trim II: Informe correspondiente al I trimestre de 2024.
Trim III: Informe correspondiente al II trimestre de 2024.
Trim IV: Informe correspondiente al III trimestre de 2024.
Informes trimestrales y correo a tercera línea</t>
  </si>
  <si>
    <t xml:space="preserve">Se elaboró y se presentó informe del primer trimestrales de austeridad </t>
  </si>
  <si>
    <t>Se presenta evidencia del plan mes de mayo</t>
  </si>
  <si>
    <t>El informe del tercer trimestre de austeridad  se presenta en el mes de octubre</t>
  </si>
  <si>
    <t>Se evidencia informe de austeridad presentado en el mes de agosto correspondiente al segundo trimestre de 2024, es importante se tenga en cuenta los definido en los critrerios</t>
  </si>
  <si>
    <t xml:space="preserve">Se adjunta Informes del III trimestrales de Austeridad </t>
  </si>
  <si>
    <t>Informe semestral de austeridad presentado a Ministerio de Hacienda y Crédito Público</t>
  </si>
  <si>
    <t>Informes semestrales de austeridad presentados al Ministerio de Hacienda y Crédito Público</t>
  </si>
  <si>
    <t>Reporte de Informe Semestral de austeridad presentado al Ministerio de Hacienda y Crédito Público, en formato o medio dispuesto para tal fin.
Trim I: Reporte correspondiente al segundo semestre de 2023.
Trim I: Reporte correspondiente al primer semestre de 2024.</t>
  </si>
  <si>
    <t>Se presentó informe semestral de austeridad ante el Ministerio de Hacienda y Crédito Público</t>
  </si>
  <si>
    <t xml:space="preserve">N/A para el seguimiento de tercer trimestre </t>
  </si>
  <si>
    <t>De acuerdo con los criterios de evaluación se debio presentar el reporte del plan de austeridad al MHCP del primer semestre njo reportan, tener en cuenta para cfumplir en el siguiente trimestre,</t>
  </si>
  <si>
    <t xml:space="preserve">Se adjunta soporte del reporte.  </t>
  </si>
  <si>
    <t>Informe de conciliación de inventarios</t>
  </si>
  <si>
    <t>Informe de Conciliación de inventarios realizado y presentado</t>
  </si>
  <si>
    <t>(No. de conciliaciones realizadas /Meta)*100%</t>
  </si>
  <si>
    <t>Acta - Informe mensual de conciliación de inventarios suscrita por responsables de los procesos de Gestión Administrativa y Gestión Financiera.
Trim I: Conciliaciones correspondientes a diciembre de 2023 y enero y febrero de 2024.
Trim II: Conciliaciones correspondientes a marzo, abril y mayo de 2024.
Trim III: Conciliaciones correspondientes a junio, julio y agosto de 2024.
Trim IV: Conciliaciones correspondientes a septiembre, octubre y noviembre de 2024.
*Actividad Plan de Mejoramiento Interno</t>
  </si>
  <si>
    <t xml:space="preserve">se elaboró conteo de inventario centro logistico DNBC </t>
  </si>
  <si>
    <t>Se adjunta inventarios físicos de los elementos en stop del centro logístico</t>
  </si>
  <si>
    <t>Se adjunta conteo de inventario centro logistico DNBC  al mes de septiembre</t>
  </si>
  <si>
    <t>De acuerdo con los criterios de evaluación se deberian presentar v3 informes de conciliación, sol ose tiene en cuenta uno de tres de los informe, dado que la evidencia es formato de inventario al mes de septiembre</t>
  </si>
  <si>
    <t xml:space="preserve">Para el cuerto trimestre se efectup conteo de inventario centro logistico DNBC </t>
  </si>
  <si>
    <t>En la revisión de las evidencias se identifica las concioliaciones del mes de Noviembre, quedando pendiete el mes de sptiembre y octubre. Por lo anterior no cumple con los criterios de eveluación establecidos.</t>
  </si>
  <si>
    <t>Informe de Obras inconclusas presentados en el sistema SIRECI</t>
  </si>
  <si>
    <t>INFORME DE OBRAS INCONCLUSAS RESPORTADO A LA CGR (SIRECI)</t>
  </si>
  <si>
    <t>(No. de informes SIRECI reportados/ Meta)*100%</t>
  </si>
  <si>
    <t>Reporte de Informe mensual presentado en el Sistema SIRECI y certificado correspondiente.
Trim I: Informes correspondientes a diciembre de 2023 y enero y febrero de 2024.
Trim II: Informes correspondientes a marzo, abril y mayo de 2024.
Trim III: Informes correspondientes a junio, julio y agosto de 2024.
Trim IV: Informes correspondientes a septiembre, octubre y noviembre de 2024.</t>
  </si>
  <si>
    <t>No se reporta informacion ni se suben evidencias</t>
  </si>
  <si>
    <t>Se adjunta informe de Obras inconclusas presentados en el sistema SIRECI en los meses de julio, agosto y septiembre</t>
  </si>
  <si>
    <t>Por error involuntario en el seguimiento del segundo trimestre no se adjunto la evidencia de la presentación del informe de Obras inconclusas presentados en el sistema SIRECI</t>
  </si>
  <si>
    <t>Se presentan los informes SIRECI de informe de obras inconclusas de enero a septiembre, por lo que se reprograma la programación a fin de subsanar los rezagos que traia el producto.</t>
  </si>
  <si>
    <t>Plan Institucional de Gestión Ambiental - PIGA actualizado</t>
  </si>
  <si>
    <t>Plan Institucional de Gestión ambiental actualizado</t>
  </si>
  <si>
    <t>Plan Institucional de Gestión Ambiental actualizado * 100%</t>
  </si>
  <si>
    <t>Documento PIGA actualizado y aprobado en Comité SIGE (presentado a Comité SIGE)</t>
  </si>
  <si>
    <t>Se  actualiza y se aprueba el PIGA en Comité SIGE (presentado a Comité SIGE)</t>
  </si>
  <si>
    <t>Se adjunta Plan Institucional de Gestión Ambiental - PIGA aprobado el 28/06/2024</t>
  </si>
  <si>
    <t>Es pertinente indicar que el ducumento fue adjuntado para la evaluación del Plan de Acción del segundo trimestre de 2024</t>
  </si>
  <si>
    <t>Se valida el cumplimiento del producto con la formalización de este acorde con los criterios definidos, se generan ajustes en la programación subsanando el rezago</t>
  </si>
  <si>
    <t>Plan de Eficiencia Administrativa y Cero Papel actualizado</t>
  </si>
  <si>
    <t>Plan de eficiencia administrativa y Cero papel actualizado</t>
  </si>
  <si>
    <t>No. Planes institucionales de eficiencia administrativa y cero papel actualizado</t>
  </si>
  <si>
    <t>Documento Plan de Eficiencia Administrativa y Cero Papel actualizado y aprobado en Comité SIGE (presentado a Comité SIGE)</t>
  </si>
  <si>
    <t xml:space="preserve">Se actualiza el Plan de Eficiencia Administrativa y Cero Papel </t>
  </si>
  <si>
    <t>Se adjunta Plan de Eficiencia Administrativa y Cero Papel aprobado el 27/06/2024</t>
  </si>
  <si>
    <t>Es pertinente indicar que el documento fue adjuntado para la evaluación del Plan de Acción del segundo trimestre de 2024</t>
  </si>
  <si>
    <t xml:space="preserve">Socialización y divulgación del Plan de Eficiencia Administrativa y Cero Papel </t>
  </si>
  <si>
    <t>Acciones de socialización y divulgación de lineamientos del plan de eficiencia administrativa y cero papel ejecutadas</t>
  </si>
  <si>
    <t>(No. de socializaciones ejecutadas/ Meta) *100%</t>
  </si>
  <si>
    <t>Trimestre II: 2 socializaciones
Trimestre III: 3 socializaciones
Trimestre IV: 3 socializaciones
*Actividad Plan de Mejoramiento Interno</t>
  </si>
  <si>
    <t>No se reporta avance ni se suben evidencias</t>
  </si>
  <si>
    <t xml:space="preserve">Se adjunta presentación mediante la cual se socializa el Plan de Eficiencia Administrativa y Cero Papel </t>
  </si>
  <si>
    <t xml:space="preserve">De acuerdo con la evidencia se valida como una de tres  socializaciones que debian realizar teniendo en cuenta la ppt la lista de asistencia que cargan no corresponde </t>
  </si>
  <si>
    <t>Es pertinente indicar que en el mes de octubre se le termino el contrato a la Ingeniera Ambiental</t>
  </si>
  <si>
    <t xml:space="preserve">Las evidencias que se adjuntan son del mes de agosto. No cumple con los criterios de evaluación. </t>
  </si>
  <si>
    <t>Informe periódico de gestión del PIGA</t>
  </si>
  <si>
    <t xml:space="preserve">Informe de gestión del PIGA realizado </t>
  </si>
  <si>
    <t>(No. De Informes realizados/ Meta) *100%</t>
  </si>
  <si>
    <t>Informe Trimestral elaborado y presentado a Comité SIGE
*Actividad Plan de Mejoramiento Interno</t>
  </si>
  <si>
    <t>Se elaboró informe PIGA I trimestre 2024</t>
  </si>
  <si>
    <t>Se elaboró informe PIGA III trimestre 2024</t>
  </si>
  <si>
    <t>Se presentan los informes de los trimestre 2 y 3 se ajusta lo pertienen para subsanar rezago</t>
  </si>
  <si>
    <t>Informe de Gestión del Plan de eficiencia administrativa y Cero Papel</t>
  </si>
  <si>
    <t>Informe de Gestión del Plan de eficiencia administrativa y Cero Papel realizado</t>
  </si>
  <si>
    <t>Informe Trimestral elaborado y presentado a Comité SIGE</t>
  </si>
  <si>
    <t>Se elaboró informe Plan Cero Papel I trimestre 2024</t>
  </si>
  <si>
    <t>Se adjunta informe Plan Cero Papel II y III trimestre 2024</t>
  </si>
  <si>
    <t>Se evidencian infomes de dos trimestres</t>
  </si>
  <si>
    <t>Informe de  gestión administrativa (administración de bienes y recursos para el funcionamiento de la DNBC)</t>
  </si>
  <si>
    <t>Informe de  gestión administrativa (administración de bienes y recursos para el funcionamiento de la DNBC) realizado</t>
  </si>
  <si>
    <t>Informe Trimestral realizado y presentado al Líder del proceso
*Actividad Plan de Mejoramiento Interno</t>
  </si>
  <si>
    <t>Se adjunta Informe de  gestión administrativa</t>
  </si>
  <si>
    <t>Se presentan dos informes de gestión administrativa subsanando el rezago que se traia del periodo anterior.</t>
  </si>
  <si>
    <t>Cruces de almacen y fortalecimiento</t>
  </si>
  <si>
    <t>Actas de cruces de información entre almacén y fortalecimiento bomberil para la respuesta realizadas</t>
  </si>
  <si>
    <t>Acta mensual de conciliación entre Gestión Administrativa y Fortalecimiento.
Trim I: Conciliaciones correspondientes a diciembre de 2023 y enero y febrero de 2024.
Trim II: Conciliaciones correspondientes a marzo, abril y mayo de 2024.
Trim III: Conciliaciones correspondientes a junio, julio y agosto de 2024.
Trim IV: Conciliaciones correspondientes a septiembre, octubre y noviembre de 2024.
*Actividad Plan de Mejoramiento Contraloría</t>
  </si>
  <si>
    <t>Se realizaron 3 cruces de almacen y fortalecimiento</t>
  </si>
  <si>
    <t>Se adjunta 3 actas cruces de almacen y fortalecimiento de los meses de julio, agosto y septiembre</t>
  </si>
  <si>
    <t>Se presentan actas de cruce de inventario entre almacen y el procesos de fortalecimiento</t>
  </si>
  <si>
    <t>Se adjunta Cruces de almacen y fortalecimiento</t>
  </si>
  <si>
    <t>Informes del comodato del centro logístico a la SAE.</t>
  </si>
  <si>
    <t>Informes Mensuales del comodato del centro logístico a la SAE</t>
  </si>
  <si>
    <t>(No. De Informes realizados / Meta)*100%</t>
  </si>
  <si>
    <t>Informes Mensuales del comodato del centro logístico a la SAE.
Trim I: Informes correspondientes a diciembre de 2023 y enero y febrero de 2024.
Trim II: Informes correspondientes a marzo, abril y mayo de 2024.
Trim III: Informes correspondientes a junio, julio y agosto de 2024.
Trim IV: Informes correspondientes a septiembre, octubre y noviembre de 2024.</t>
  </si>
  <si>
    <t>Se elaboraron 6 informes Mensuales del comodato del centro logístico a la SAE.</t>
  </si>
  <si>
    <t>Se adjunto 3 informes de los meses julio, agosto y septiembre del comodato del centro logístico a la SAE.</t>
  </si>
  <si>
    <t>Se evidencian los 3 informes del periodo</t>
  </si>
  <si>
    <t>Se presento reporte</t>
  </si>
  <si>
    <t>Se adjunta evidencia del Monitoreo y seguimiento a los Riesgos de Gestión</t>
  </si>
  <si>
    <t>Se presento la matriz de riesgos del proceso en su oportunidad</t>
  </si>
  <si>
    <t>Se adjunta evicencias y diligenciamiento Matriz Avance PAAC y Riesgos de Corrupción II cuatrimestre</t>
  </si>
  <si>
    <t>Se presento información PAAC</t>
  </si>
  <si>
    <t>Se adjunta reporte trimestral de Indicadores de gestión del proceso</t>
  </si>
  <si>
    <t>Se adelantaron mesas de trabajo de revisión y reformulación de indicadores con Mejora Continua</t>
  </si>
  <si>
    <t>No se evidencia trabajo de revisión de documentación SIGE</t>
  </si>
  <si>
    <t xml:space="preserve">Se adjunta Diligenciamiento matriz Plan de Mejoramiento de Gestión e Institucional (CGR) </t>
  </si>
  <si>
    <t>En el seguimiento al primer semestre no se adjunto el reporte de indicadores</t>
  </si>
  <si>
    <t>SE reporta Plan de Mejora</t>
  </si>
  <si>
    <t>Reportan Plan de mejora procesos y CGR</t>
  </si>
  <si>
    <t>No se reportan actas de referentes</t>
  </si>
  <si>
    <t>No hay evidencias</t>
  </si>
  <si>
    <t>Capacitaciones en gestión contractual</t>
  </si>
  <si>
    <t>Compras y contratación pública</t>
  </si>
  <si>
    <t>Capacitaciones en gestión contractual realizadas</t>
  </si>
  <si>
    <t>No. De Capacitaciones realizadas/No. De capacitaciones programadas</t>
  </si>
  <si>
    <t>Presentación
Listado de asistencia 
La capacitación se realizará de forma presencial y /o virtual</t>
  </si>
  <si>
    <t xml:space="preserve">Se realizó capacitacion de la plataforma SECOP II, dirigida a funcionarios y contratistas de la entidad en general </t>
  </si>
  <si>
    <t>OK</t>
  </si>
  <si>
    <t>El procesos no reporta información para el tercer trimestre</t>
  </si>
  <si>
    <t xml:space="preserve">Se relizò capaciitaciòn a contratistas para cargue de procesos en gestion contractual sobre secop II
</t>
  </si>
  <si>
    <t xml:space="preserve">Las evidencias no cumple con la totalidad de los productos requeridos para el cumplimiento de la actividad esteblecidos en los criterops de evaluación. </t>
  </si>
  <si>
    <t xml:space="preserve">Actualización de la base de datos de gestión contractual con el link de acceso al SECOP II, de manera  mensual. </t>
  </si>
  <si>
    <t>Información de gestión contractual publicada y actualizada en el sistema SECOP II</t>
  </si>
  <si>
    <t>No. de Publicaciones y actualizaciones realizadas/ No. De publicaciones y actualizaciones programadas</t>
  </si>
  <si>
    <t>Link de acceso al SECOP II 
Base de datos con datos contractuales
Incluye correos a comunicaciones
Actualización mensual dentro delos primeros 15 días del mes</t>
  </si>
  <si>
    <t xml:space="preserve">Se publicaron todos los procesos contractuales en la plataforma SECOP II y se envia base de datos de la contratacion a la oficina de comunicaciones para su publicacion </t>
  </si>
  <si>
    <t>ok</t>
  </si>
  <si>
    <t>El resultado no está acorde con las actividades planteadas para el periodo teniendo en cuenta que que son 3 soportes mensuales los que se debieron cargar, adicional no están los correos ni la base de datos especificadas en los criterios de evaluación</t>
  </si>
  <si>
    <t>Toda la contrataciòn es publicada ens ecop II , se adjunta matriz con enlaces .Se publicò la informaciòn a Junio de los contratos en la web y se esta completando a diciembre para enviar a publicaciòn.</t>
  </si>
  <si>
    <t>No cumple con los criterios establecidos en los criterios de evaluación. Las evidencias estan incompletas. Por tanto no cumple con la meta establecida.</t>
  </si>
  <si>
    <t>Comités de contratación</t>
  </si>
  <si>
    <t>Comités de contratación realizados</t>
  </si>
  <si>
    <t>(No. De comités realizados/ No. De Comités de contratación programados) *100</t>
  </si>
  <si>
    <t>Actas de comité
Listado de asistencia</t>
  </si>
  <si>
    <t>Se realizaron dos comites de contratacion.</t>
  </si>
  <si>
    <t xml:space="preserve">Al revisar las evidencias se identifico que de las 5 actas cargadas 3 no pertecen a el trimestre, por lo tanto se valen solo dos actas. Se debe tener en cuenta que la meta esta establecida de 100 actas de y en el segundo trimestre reportaron 2 y en este periodo 3, con un rezago del 95% para cumplir la meta anual. </t>
  </si>
  <si>
    <t>Ejecución del Plan anual de adquisiciones</t>
  </si>
  <si>
    <t>Plan anual de adquisiciones ejecutado</t>
  </si>
  <si>
    <t>(No. De procesos de contratación adelantados/ No. De Procesos requeridos) * 100</t>
  </si>
  <si>
    <t>Se tendran en cuenta aquellos procesos de contratación que se gestionen de acuerdo con las solicitudes presentadas al proceso por las areas interesadas.</t>
  </si>
  <si>
    <t xml:space="preserve">Durante este periodo se adelantaron los procesos de contratación de acuerdo con lo solicitado en el PAA por las áreas. De 345 se ejecutaron 167 contratos </t>
  </si>
  <si>
    <t>Se remite matriz del PAA y matriz de contratación</t>
  </si>
  <si>
    <t>Se presenta el PAA y base de datos de contratación se evalua acorde con lo informado por el proceso</t>
  </si>
  <si>
    <t xml:space="preserve">La evidencia cargada no permite identificar la información que cumpla con los criterios de evaluación. </t>
  </si>
  <si>
    <t>Reportes de la ejecución contractual a la Contraloría General de la República</t>
  </si>
  <si>
    <t>Reportes en el sistema SIRECI realizados</t>
  </si>
  <si>
    <t>No. De reportes realizados en el sistema/No. De reportes programados</t>
  </si>
  <si>
    <t xml:space="preserve">Certificado de SIRECI
Archivo transmitido </t>
  </si>
  <si>
    <t xml:space="preserve">Se realizó el cargue del mes de abril y mayo </t>
  </si>
  <si>
    <t>El mes de Junio se rinde hasta el 20 de Julio.</t>
  </si>
  <si>
    <t>Se evidenciuan dos reportes en SIRECI se requiere se aporte el certificado de tranamisión del mes de marzo</t>
  </si>
  <si>
    <t xml:space="preserve">Las evidencias cumplen con los criterios de evaluación </t>
  </si>
  <si>
    <t>Se diligenció la matriz y se aportan las respectivas evidencias.</t>
  </si>
  <si>
    <t xml:space="preserve">Matriz y evidencias </t>
  </si>
  <si>
    <t xml:space="preserve">Se envia reporte realizado en el periodo de enero a abril </t>
  </si>
  <si>
    <t>Matriz</t>
  </si>
  <si>
    <t>El resultado no está acorde con las actividades planteadas para el periodo teniendo en cuenta que no se encuentra cargada la matriz PAAC sino solo riesgos de corrupción</t>
  </si>
  <si>
    <t xml:space="preserve">No reportan información </t>
  </si>
  <si>
    <t xml:space="preserve">Se diligenció matriz de indicadores. </t>
  </si>
  <si>
    <t>matriz y evidencias</t>
  </si>
  <si>
    <t xml:space="preserve">No se actualizaron formatos, toda vez que los procesos se encuentran en fase de revisión, por tanto se reprograma para el proximo trimestre </t>
  </si>
  <si>
    <t>No se avanza con la formalización del manual de contratación en proceso. Se  valida acción del trabajo realizado en las mesas de revisión de formatos y actualización de  hojas de vida de indicadores.</t>
  </si>
  <si>
    <t>Se reporta en septiembre</t>
  </si>
  <si>
    <t>Reportan Plan de Mejora Procesos</t>
  </si>
  <si>
    <t>Se reprograma para el procximo trimestre  seguimiento y evaluacion al proceso.</t>
  </si>
  <si>
    <t xml:space="preserve">A diciembre </t>
  </si>
  <si>
    <t>3.4.Mejorar los sistemas de información e infraestructura tecnológica de la entidad.​</t>
  </si>
  <si>
    <t>16. Gestión de Tecnología e Informática</t>
  </si>
  <si>
    <t>Seguimientos al cumplimiento del Plan Estratégico de Tecnologia PETI</t>
  </si>
  <si>
    <t>Gobierno Digital</t>
  </si>
  <si>
    <t>Seguimiento realizado</t>
  </si>
  <si>
    <t>No. de seguimientos realizados</t>
  </si>
  <si>
    <t>Informes de seguimiento en cada trimestre</t>
  </si>
  <si>
    <t>Se realizó el seguimiento correspondiente al PETI vigencia 2019-2022, con relación a las nuevas guias para su contrucción y el marco de referencia de arquitectura empresarial.</t>
  </si>
  <si>
    <t>Se evidencia informe de seguimiento al PET suscrito por el Gestor del proceso</t>
  </si>
  <si>
    <t>n.a. para el periodo</t>
  </si>
  <si>
    <t xml:space="preserve">No se encuentran cargadas las evidencias que soporten el cumplimiento de las actividades </t>
  </si>
  <si>
    <t>Contratos de renovación de infraestructura como servicio que tiene la Entidad</t>
  </si>
  <si>
    <t>Servicios renovados</t>
  </si>
  <si>
    <t>No. de servicios renovados</t>
  </si>
  <si>
    <t>Documento de contratos de renovación de servicios asociados con:
 *Nube pública azure, 
 *Nube pública de servicios Oracle-RUE)</t>
  </si>
  <si>
    <t>De los dos (2) productos, la Entidad ha contratado hasta la fecha uno de los productos:
Nube pública de azure mediante la orden de compra No 131645 de agosto de 2024</t>
  </si>
  <si>
    <t>Se verifica evidencia orden de compra azure</t>
  </si>
  <si>
    <t>Contratos de renovación de de servicios y adquisición de suministro de impresión</t>
  </si>
  <si>
    <t>Adquisiciones generadas</t>
  </si>
  <si>
    <t>No. de Adquisiciones generadas</t>
  </si>
  <si>
    <t>Documento de contratos asociados con:
*Servico de internet
*Servicio de impresión
*Servicio de correo</t>
  </si>
  <si>
    <t xml:space="preserve">Se relizaron y ajudicaron los contratos:
Servicio de correo
Servicio público de internet </t>
  </si>
  <si>
    <t>La Entidad realizó la contratación efectiva del suministro de consumibles de impresión mediante el contrato 187 de 2024</t>
  </si>
  <si>
    <t>No se cuenta con la evidencia del avance reportado, se sugiere adnutar para el cuarto periodo y dar por cumplido el producto</t>
  </si>
  <si>
    <t>Servicio de soporte técnico al usuario final de la Entidad</t>
  </si>
  <si>
    <t>Servicio de soporte técnico al usuario final de la entidad ejecutado</t>
  </si>
  <si>
    <t>(No. De servicios de soporte realizados/ No. Solicitudes requeridas por los usuarios)*100</t>
  </si>
  <si>
    <t>Informe de soportes realizados de acuerdo con los reportes de la Mesa de Ayuda</t>
  </si>
  <si>
    <t>Se atendieron 21 casos de 21 presentados</t>
  </si>
  <si>
    <t>Se atendieron 27 casos de 27 presentados</t>
  </si>
  <si>
    <t>Se atendieron 106 casos de 106 presentados</t>
  </si>
  <si>
    <t>Se anexan evidencia de soportes brindados</t>
  </si>
  <si>
    <t xml:space="preserve">Mantenimiento preventivo y/o correctivo de la infraestructura tecnológica </t>
  </si>
  <si>
    <t>Mantenimientos preventivos y/o correctivos ejecutados</t>
  </si>
  <si>
    <t>No. de mantenimientos realizados</t>
  </si>
  <si>
    <t xml:space="preserve">Informe de mantenimientos, Documento de contrato asociado </t>
  </si>
  <si>
    <t>No se reporta avance ni evidencias</t>
  </si>
  <si>
    <t>Se realizaron 15 mantenimientos preventivos por el contratista Jhony Held</t>
  </si>
  <si>
    <t>Servicio de soporte y mantenimiento evolutivo de los sistemas de información y servicios digitales</t>
  </si>
  <si>
    <t>Servicios contratados</t>
  </si>
  <si>
    <t xml:space="preserve">No de servicios contratados </t>
  </si>
  <si>
    <t>Documento de contrato de servicios asociados a:
Orfeo, RUE, Portal Web</t>
  </si>
  <si>
    <t>La entidad cuenta con soporte de:
Sistema de Gestión Documental Orfeo vigencia 2024
Soporte RUE: Contratista Cistian Jorge Gustin Valencia
CPS No 088 de 2024</t>
  </si>
  <si>
    <t>No reportan avance</t>
  </si>
  <si>
    <t>Seguimiento a la implementación del plan de seguridad de la información (PSI)</t>
  </si>
  <si>
    <t>Seguridad Digital</t>
  </si>
  <si>
    <t>Cantidad de seguimientos realizados</t>
  </si>
  <si>
    <t>Informe de seguimiento en cada trimestre del año</t>
  </si>
  <si>
    <t xml:space="preserve">No reportan </t>
  </si>
  <si>
    <t>Seguimiento a la implementación del plan de tratamiento de riesgos</t>
  </si>
  <si>
    <t>No reportaron matriz</t>
  </si>
  <si>
    <t>No rerportan PAAC</t>
  </si>
  <si>
    <t>No participaron de mesas de trabajo de revisión y/o reformulacion de indicadores</t>
  </si>
  <si>
    <t>No se logró concretar gestión con el proceso</t>
  </si>
  <si>
    <t>Edgardo Mandón Arenas</t>
  </si>
  <si>
    <t>número</t>
  </si>
  <si>
    <t>Trimestre II: -Estudio previo.
-Formato de idoneidad y experiencia.
-Formato de no planta.
-Lista de chequeo para contratos. 
-Designación de supervisión.</t>
  </si>
  <si>
    <t>No avanza en gestion en general</t>
  </si>
  <si>
    <t>Sin reporte</t>
  </si>
  <si>
    <t>17. Evaluación y Seguimiento</t>
  </si>
  <si>
    <t>Control Interno</t>
  </si>
  <si>
    <t>Realizar Auditorias de Gestión</t>
  </si>
  <si>
    <t>Asesor de Control Interno</t>
  </si>
  <si>
    <t>Auditorías Ejecutadas</t>
  </si>
  <si>
    <t>(Número de auditorias ejecutadas en el periodo / Número de Auditorias Programadas en el periodo)*100</t>
  </si>
  <si>
    <r>
      <t xml:space="preserve">Ejecución de auditorias
Plan de auditoria (30%)
Ejecución de la Auditoria (40%)
presentación de informe preliminar (30%)
Trimestre II : 0
Trimestre III: Gestión Contractual Agosto - Septiembre.
Trimestre IV: Gestión Administrativa Septiembre - Octubre; Gestión del Talento Humano - SGSST Octubre - Noviembre
</t>
    </r>
    <r>
      <rPr>
        <b/>
        <sz val="11"/>
        <color rgb="FFFF0000"/>
        <rFont val="Tahoma"/>
        <family val="2"/>
      </rPr>
      <t>SE ELIMINA ESTE PRODUCTO POR SOLICITUD DEL PROCESO Y APROBADA EN COMITE DE CONTROL INTERNO Y SIGE DEL MES DE SEPTIEMBRE DE 2024</t>
    </r>
  </si>
  <si>
    <t>N/A</t>
  </si>
  <si>
    <t>Para el primer trimestre de 2024, no se programaron auditorías</t>
  </si>
  <si>
    <t>SUS</t>
  </si>
  <si>
    <t>Conforme a lo aprobado en el CICCI del mes de Septiembre de 2024 está actividad se ejecutará en la vigencia 2025.</t>
  </si>
  <si>
    <t>Producto suspendido</t>
  </si>
  <si>
    <t>SE ELIMINA ESTE PRODUCTO POR SOLICITUD DEL PROCESO Y APROBADA EN COMITE DE CONTROL INTERNO Y SIGE DEL MES DE SEPTIEMBRE DE 2024</t>
  </si>
  <si>
    <t xml:space="preserve">Presentar informes y seguimientos de Ley </t>
  </si>
  <si>
    <t>Informes de Ley presetados oportunamente</t>
  </si>
  <si>
    <t>(Número de informes presentados  en el periodo / Número de informes de ley requeridos en el periodo)*100</t>
  </si>
  <si>
    <t>Primer trimestre: 7 informes: Semestral,  Control Interno Contable, Avance PM Contraloria , EKOGUI , Derechos de Autor, Comite de Conciliación, Evaluación por dependencias.
Segundo trimestre: 6 informes: FURAG, Austeridad del trimestre IV de 2023, Austeridad del trimestre I de 2024, PQRSD, PAAC, Mapas de riesgo de corrupción.
Tercer trimestre: 9 informes: Semestral, Austeridad del II Trimestre 2024, Avance PM CGR, Seguimiento ley de trasparencia, Informe EKOGUI, Comité de Conciliación, Seguimiento PAAC , Mapas de riesgos de corrupción, PQRSD.
Cuarto trimestre: 5 informes: Austeridad III Trimestre 2024,  PAAC, Mapas de riesgos de corrupción, Plan de Mejoramiento de gestión, SIGEP</t>
  </si>
  <si>
    <t xml:space="preserve">Se dio cumplimiento a la totalidad de los informes establecidos en el criterio de evaluación asi:  7 informes: Semestral,  Control Interno Contable, Avance PM Contraloria , EKOGUI , Derechos de Autor, Comite de Conciliación, Evaluación por dependencias. </t>
  </si>
  <si>
    <t>Se dio cumplimiento a la totalidad de los informes establecidos en el criterio de evaluación asi:  6 informes: Segundo trimestre: 6 informes: FURAG, Austeridad del trimestre IV de 2023, Austeridad del trimestre I de 2024, PQRSD, PAAC, Mapas de riesgo de corrupción.</t>
  </si>
  <si>
    <t>Se dio cumplimiento a la totalidad de los informes establecidos en el criterio de evaluación asi:  Tercer trimestre: 9 informes: Semestral, Austeridad del II Trimestre 2024, Avance PM CGR, Seguimiento ley de trasparencia, Informe EKOGUI, Comité de Conciliación, Seguimiento PAAC , Mapas de riesgos de corrupción, PQRSD.</t>
  </si>
  <si>
    <t>Se verifican los 9 informes del trimestre</t>
  </si>
  <si>
    <t xml:space="preserve">Se dio cumplimiento a la totalidad de los informes establecidos en el criterio de evaluación asi: Cuarto trimestre: 2 informes: Austeridad III y Apoyo Apoyo en la formulación del Plan de Mejoramiento de la Auditoria Financiera realizada por parte de la Contraloría General de la República vigencia 2023 </t>
  </si>
  <si>
    <t xml:space="preserve">Cumple con los criterios de evaluación </t>
  </si>
  <si>
    <t xml:space="preserve">Efectuar Asesoría y acompañamiento
(Comité Institucional de Coordinación de Control Interno)
</t>
  </si>
  <si>
    <t>Comités realizados</t>
  </si>
  <si>
    <t>(Número de Comités realizados en el periodo / Número de comités programados en el periodo)*100</t>
  </si>
  <si>
    <t>Comités realizados.
Primer trimestre 2 comités.
Segundo trimestre: 1 comité.
Tercer trimestre: 2 comités.
Cuarto trimestre: 1 comité.</t>
  </si>
  <si>
    <t>En el primer trimestre de 2024, se llevó a cabo dos (2) comités CICCI (29 de enero de 2024 Acta 01) y (27 de marzo de 2024 Acta 02)</t>
  </si>
  <si>
    <t xml:space="preserve">En el segundo trimestre de 2024, se llevó a cabo un (1) comité CICCI (30 de mayo de 2024 Acta 03) </t>
  </si>
  <si>
    <t>En el segundo trimestre de 2024, se llevó a cabo dos (2) comités CICCI (Julio y Septiembre  )</t>
  </si>
  <si>
    <t>Se verifican evidencias que responden al producto formulado</t>
  </si>
  <si>
    <t>Se realizó el Comité CICCI en el Mes de Noviembre de 2024</t>
  </si>
  <si>
    <t xml:space="preserve">No se cargaron las evidencias, por lo tanto no se pudo verificar el cumplimiento </t>
  </si>
  <si>
    <t>Realizar actividades ENFOQUE HACIA LA PREVENCIÓN
* Actividades de autocontrol: 2
* Verificación rendición de 29 informes a la CGR.</t>
  </si>
  <si>
    <t>Actividades ejecutadas</t>
  </si>
  <si>
    <t>(Número de actividades realizadas en el periodo / Número de actividades programadas en el periodo)*100</t>
  </si>
  <si>
    <t>Actividades realizadas:
Primer trimestre: 9 actividades.
Segundo trimestre: 7 actividad.
Tercer trimestre:  9 actividades.
Cuarto trimestre:  6 actividades.</t>
  </si>
  <si>
    <t>Se realizó el correo mensual informando los informes que se debían trasmitir por medio del SIRECI. Nueve(9)</t>
  </si>
  <si>
    <t>Se realizó el correo mensual informando los informes que se debían trasmitir por medio del SIRECI. Siete(7)</t>
  </si>
  <si>
    <t>Se verifican correos enviados</t>
  </si>
  <si>
    <t>Se realizó el correo mensual informando los informes que se debían trasmitir por medio del SIRECI. Seis (6)</t>
  </si>
  <si>
    <t>Evaluación de la Gestión del Riesgo</t>
  </si>
  <si>
    <t>Evaluación realizada</t>
  </si>
  <si>
    <t>Actividades realizadas.
Primer trimestre: 0 actividades.
Segundo trimestre: 0 actividad.
Tercer trimestre:  1 actividades.
Cuarto trimestre:  0 actividades.</t>
  </si>
  <si>
    <t>Actividad Programada para el tercer trimestre de 2024</t>
  </si>
  <si>
    <t>Actividad Programada para el cuarto trimestre de 2024</t>
  </si>
  <si>
    <t>Actividad reporograma para el cuarto trimestre</t>
  </si>
  <si>
    <t>Se llevó a cabo el Seguimiento a los riesgos de gestión con fecha de corte 30 de septiembre de 2024</t>
  </si>
  <si>
    <t xml:space="preserve">Atención auditoria ente de Control </t>
  </si>
  <si>
    <t>(Número de atenciones asistidas/Número de atenciones programadas)*100</t>
  </si>
  <si>
    <t>Cuadro de control de la gestión frente a los requerimientos del ente de control. 
Primer trimestre: 0  actividad
Segundo trimestre: 0 actividad 
Tercer trimestre:1 Cuadro control Diligenciado
Cuarto trimestre: 1 Cuadro control Diligenciado</t>
  </si>
  <si>
    <t>La CGR, no realizó visita a la DNBC, durante el primer trimestre de 2024</t>
  </si>
  <si>
    <t>La CGR, no realizó visita a la DNBC, durante el segundo trimestre de 2024</t>
  </si>
  <si>
    <t>La CGR, realizó visita a la DNBC, durante el tercer trimestre de 2024 y se diligenció el cuadro de control</t>
  </si>
  <si>
    <t>Se verifica cuadro control auditoria CGR</t>
  </si>
  <si>
    <t>Para el primer trimestre de 2024, no se tiene programada la ejecución de esta actividad</t>
  </si>
  <si>
    <t xml:space="preserve">Para el tercer trimestre de 2024, se realizó el diligenciamiento de la matriz </t>
  </si>
  <si>
    <t>Se diligencia mstriz de riesgos</t>
  </si>
  <si>
    <t xml:space="preserve">Para el cuarto trimestre de 2024, se realizó el diligenciamiento de la matriz </t>
  </si>
  <si>
    <t>Se realizó el reporte en la matriz de avance del PAAC Y Riesgos de corrupción del Proceso evaluación y seguimiento</t>
  </si>
  <si>
    <t>Para el tercer trimestre de 2024, se realizó el seguimiento al avance del PAAC y Riesgos de Corrupción del segundo cuatrimestre de 2024</t>
  </si>
  <si>
    <t>SE verifica seguimiento avance PAAC</t>
  </si>
  <si>
    <t>Para el cuarto trimestre de 2024, se realizó el seguimiento al avance del PAAC y Riesgos de Corrupción del segundo cuatrimestre de 2024</t>
  </si>
  <si>
    <t>Se realizó el reporte en la matriz indicadores del  Proceso evaluación y seguimiento</t>
  </si>
  <si>
    <t>Se realizó el diligenciamiento de la matriz de indicadores del proceso de Evaluación y Seguimiento</t>
  </si>
  <si>
    <t>Verificacion matriz de indicadores</t>
  </si>
  <si>
    <t>Para el segundo trimestre de 2024, no se tiene programada la ejecución de esta actividad</t>
  </si>
  <si>
    <t>El proceso no tiene documentos del sistema de Gestión que deban actualizarse</t>
  </si>
  <si>
    <t>Reportan no tener documentos a actualizar</t>
  </si>
  <si>
    <t>Diligenciamiento matriz Plan de Mejoramiento de Gestión e Institucional (CGR) 
Plan deMejoramiento de Gestión: Reporte con corte al 30 de septiembre y entregado el 01 dia habil de octubre (Se elimina esta actividad acorde con lo aprobado en comite SIGE del 30 de septiembre)
Plan de Mejoramiento Institucional (CGR): Reporte con corte al 30 de junio y entregado 01 de habil de Julio.
Reporte con corte al 15 de diciembre y entregado el 18 de diciembre.
Carpeta con la evidencia de cumplimiento relacionado.</t>
  </si>
  <si>
    <t>La OCI, realizó el seguimiento al PM institucional correspondiente al primer semestre de 2024</t>
  </si>
  <si>
    <t>LA OCI no posee acciones en el PM Institucional. De igual forma, conforme a lo establecido en el CICCI de septiembre de 2024. El seguimiento al PM de Gestión se realizará en la vigencia 2025.</t>
  </si>
  <si>
    <t>El proceso no tiene PM Contraloría, pero verifica informe consolidado por la 2a linea de defensa para reporte, realizado en el tercer trimestre</t>
  </si>
  <si>
    <t>La OCI, realizó el acta de los referentes estratégicos correspondiente al primer semestre de 2024</t>
  </si>
  <si>
    <t>Se generaron las actas de los meses de Julio, Agosto y Septiembre de 2024</t>
  </si>
  <si>
    <t>Se generaron las actas de los meses de octubre, noviembre y diciembre de 2024</t>
  </si>
  <si>
    <t>SE evidencian actas</t>
  </si>
  <si>
    <t>Para el tercer trimestre de 2024, no se tiene programada la ejecución de esta actividad</t>
  </si>
  <si>
    <t>Se realizó el Formato de Inventario con información Transferida</t>
  </si>
  <si>
    <t>18. Gestión Jurídica</t>
  </si>
  <si>
    <t>Capacitaciones en sistema de informacion Ekogui de acuerdo con perfiles</t>
  </si>
  <si>
    <t xml:space="preserve">Defensa Jurídica </t>
  </si>
  <si>
    <t>Capacitaciones en perfiles del sistema de información Ekogui gestionadas ante la Agencia Nacional de Defensa Jurídica del Estado</t>
  </si>
  <si>
    <t>No. de capacitaciones realizadas/No. De capacitaciones gestionadas</t>
  </si>
  <si>
    <t>Trimestre II: Solicitud de Capacitación en perfil de Apoderado,  Secretario Técnico, Financiero y de Pagos.  20%
Correo de solicitud gestionada
Certificado de capacitación realizada (80%- 20 por cada certificado)
Se entendera por ejecutada la capacitación una vez se cuente con el certificado</t>
  </si>
  <si>
    <t xml:space="preserve">Se brindan soportes de los talleres propuestos para el perfil asignado de abogado en Ekogui, realizados en el mes de julio y agosto. </t>
  </si>
  <si>
    <t>Gestionados en el tercer trimestre del 2024.</t>
  </si>
  <si>
    <t xml:space="preserve">Se evidencias los certificados de las capacitaciones. </t>
  </si>
  <si>
    <t>Informe procesos judiciales y acciones adelantadas en defensa de los intereses de la entidad.</t>
  </si>
  <si>
    <t>Informe semestral de procesos judiciales realizado y presentado al Comité de Conciliación</t>
  </si>
  <si>
    <t>No. De informes  realizados y presentados/No. De Informes programados</t>
  </si>
  <si>
    <t xml:space="preserve">Informe de procesos judiciales donde es parte la entidad realizado y presentado al Comité de Conciliación.
Trimestre III: Informe de Enero a Junio 
Trimestre IV: Informe de Julio a Diciembre
Informe y lista de asistencia al comité </t>
  </si>
  <si>
    <t>Bajo términos y ejecución del informe correspondiente al primer semestre del 2024 se realizó con normalidad y se presentó el 17 de mayo de 2024 al cómite de conciliación. Posteriormente se entrega su versión final el 5 de agosto de 2024.</t>
  </si>
  <si>
    <t>Se presenta informe previsto para el segundo trimestre, se evalua ajustando programación para subsanar el rezago del producto</t>
  </si>
  <si>
    <t xml:space="preserve">Al revisar las evidencias se identifica el informe presentado ante el comité, pero no se anexa listya de asistencia al comité; por lo  cual se da cumpliento en un 50% de la meta según los criterios de evaluación establecidos. </t>
  </si>
  <si>
    <t>Informe de acciones de tutela</t>
  </si>
  <si>
    <t>Informe Semestral de Acciones de Tutela realizado y presentado al Comité de Conciliación</t>
  </si>
  <si>
    <t xml:space="preserve">Informe de acciones de tutela donde es parte la entidad realizado y presentado a la alta Dirección en Comité Directivo.
Trimestre III: Informe de Enero a Junio 
Trimestre IV: Informe de Julio a Diciembre
Informe y lista de asistencia al comité </t>
  </si>
  <si>
    <t xml:space="preserve">Se realizó el informe correspondiente al primer semestre del 2024, sin embargo, a la fecha no se ha presentado al cómite Directivo, se solicita cita para presentación en el mes de octubre. </t>
  </si>
  <si>
    <t xml:space="preserve">Al revisar las evidencias se identifica el informe presentado al comité donde se relaciona el informe de las acciones de tutela de los consultadas en los meses de noviembre y diciembre, y ademas no se anexa la lista de asistencia al comite. Por lo anteior no cumple en su totalidad con los criterios de evaluación establecidos. </t>
  </si>
  <si>
    <t>Seguimiento a la Política de daño antijurídico de la entidad vigencia 2023</t>
  </si>
  <si>
    <t>Informe de seguimiento de la Política de daño antijurídico, presentado a la Agencia Nacional de Defensa Jurídica del estado</t>
  </si>
  <si>
    <t>Un informe realizado y presentado</t>
  </si>
  <si>
    <t>Informe de seguimiento y  reporte generado por la Agencia</t>
  </si>
  <si>
    <t>Dentro de la prevención de las posibles conductas propicias del daño antijuridico, se presentó la certificación correspondiente a la Procuraduría  en el mes de julio.</t>
  </si>
  <si>
    <t>Gestionado en el tercer trimestre del 2024.</t>
  </si>
  <si>
    <t>Se presenta evidencia de accion programada para el segundo trimestre se ajusta para subsanar rezago</t>
  </si>
  <si>
    <t xml:space="preserve">Finalizado en el tercer trimestre. </t>
  </si>
  <si>
    <t>Se presenta el reporte de Gestión de Riesgo conforme al tercer trimestre del 2024, a través de correo electronico a john.beltran@dnbc.gov.co, según indicaciones del proceso de Planeación.</t>
  </si>
  <si>
    <t>Se presento informe</t>
  </si>
  <si>
    <t>No hay soportes que justifiquen el reporte de seguimiento al PAAC para el trimestre</t>
  </si>
  <si>
    <t>No reportan información</t>
  </si>
  <si>
    <t>Se realizo en el tercer trimestre de 2024, sin embargo, se presenta en el cuarto trimestre del año.</t>
  </si>
  <si>
    <t>Se adelanto proceso de revisión de indicadores con mejora continua</t>
  </si>
  <si>
    <t>A la fecha de la presente gestión, no hay una necesidad expresa de actualizar documentos del sistema de gestión.</t>
  </si>
  <si>
    <t>No se presentan avance</t>
  </si>
  <si>
    <t>No hay soportes que justifiquen el alcance al Plan de mejora institucional reportado para el trimestre</t>
  </si>
  <si>
    <t>No hay soportes que justifiquen el seguimiento y evaluación del desempeño institucional para el trimestre</t>
  </si>
  <si>
    <t>No presentan actas</t>
  </si>
  <si>
    <t xml:space="preserve">Propiciar la seguridad y conviencia ciudadana, el orden público, así como la atencióny control en situaciones que vulneren o amenacen a la población </t>
  </si>
  <si>
    <t>19. Gestión Documental</t>
  </si>
  <si>
    <t xml:space="preserve">Capacitaciones en Gestión Documental </t>
  </si>
  <si>
    <t>Capacitaciones en Gestión Documental</t>
  </si>
  <si>
    <t>No. Capacitaciones realizadas/ No. Capacitaciones programadas</t>
  </si>
  <si>
    <t xml:space="preserve">Numero </t>
  </si>
  <si>
    <t>- Material de capacitación
- Listado de asistencia (físico o magnetico)</t>
  </si>
  <si>
    <t>Se realizaran capacitaciones a las diferentes areas los días 16 y 22 de octubre de 2.024.</t>
  </si>
  <si>
    <t>Sin avance la evidencia no corresponde al producto</t>
  </si>
  <si>
    <t>Se realizo la capacitacion sobre Practicas basicas de gestion Documental con el Doctor Serrato y Edwin Sosa.</t>
  </si>
  <si>
    <t xml:space="preserve">Cumple con los criterios de evaluación, en el tercer trimestre se informo que la actividad se realizaria en el mes de octubre entrando al reporte del cuarto trimestre. Por lo anterior se da la calificacion en este periodo. Cumpliendo con la meta anual. </t>
  </si>
  <si>
    <t xml:space="preserve">Proceso de organización de Archivo Central </t>
  </si>
  <si>
    <t>Registro de actividades generadas</t>
  </si>
  <si>
    <t>No. Formatosd Fuid elaborados/No. Formatos Fuid programados*100</t>
  </si>
  <si>
    <t xml:space="preserve"> Formato FUID (Registro de la actividad mensual)
Trimeste II: Formatos
Trimestre III:  Formatos
Trimestre IV: Formatos</t>
  </si>
  <si>
    <t>En este trimestre se esta organizando el Fondo Documental de Gestión Financiera en el Archivo Central ,referente a la serie documental (Boletin Diario de Tesoreria) de la vigencia 2023 y 2024 del rublo asignado al Fondo Nacional Bomberos y de Funcionamiento DNBC ,por lo cual  se deja de evidencia en FUID de la información ingresada al Archivo Central para su consevación y custodia.</t>
  </si>
  <si>
    <t xml:space="preserve">El espacio del Archivo Central se esta reduciendo se sugerira continuar con Proyecto del Archivo Central en las instalaciones del Centro Logistico </t>
  </si>
  <si>
    <t>SE remite matriz</t>
  </si>
  <si>
    <t>Durante el año se a realizado la digitalizado en mas de un 70% los documentos mas solicitados en la entidad los cuales son DNBC, FNBC y Resoluciones.</t>
  </si>
  <si>
    <t xml:space="preserve">No se anexan las evidencias </t>
  </si>
  <si>
    <t>Asesoría y acompañamiento para Transferencia Documental de los procesos institucionales</t>
  </si>
  <si>
    <t>Asesoría y acompañamiento realizado</t>
  </si>
  <si>
    <t xml:space="preserve">No. Asesorías y acompañamientos realizados/No. Acompañamientos ejecutados </t>
  </si>
  <si>
    <t xml:space="preserve">Listados de asistencia </t>
  </si>
  <si>
    <t>En total, únicamente 5 procesos los cuales fueron Gestion Talento Humano, Gestion Financiera, Gestion de Infraestructura, Gestion de analisis y mejora, Gestion de planeacion, realizandose esta acción de manera efectiva. Además, se envió un correo informando sobre un último plazo para la recepción de documentos pendientes de entrega. Adicionalmente, una persona del área de archivo se acercó a los responsables, proporcionando la información necesaria, y las personas que recibieron la notificación firmaron para constatar la recepción de la misma.</t>
  </si>
  <si>
    <t>A pesar de haber compartido tanto presencial como digital el plazo de entrega no todos los procesos realizaron tranferencia.</t>
  </si>
  <si>
    <t>Las evidencias aunque demuestran lo realizado en el trimestre no cumplen con los criterios de evaluacion para el cumplimiento de la meta del producto, estipulados en los criterios de evaluación.</t>
  </si>
  <si>
    <t>Digitalización de información transferida al Archivo Central</t>
  </si>
  <si>
    <t>Digitalización de información</t>
  </si>
  <si>
    <t>No. Formatos Fuid con registro de digitalización*100</t>
  </si>
  <si>
    <t>Formatos FUID con registro de digitalizción</t>
  </si>
  <si>
    <t xml:space="preserve">En esta vigencia se han Digitalizado Expedientes que se encuentran  en el Archivo Central , del Fondo Documental perteneciente al Proceso de Gestión Financiera de las vigencias 2.023 y la actual 2.024  </t>
  </si>
  <si>
    <t>Se tiene que continuar con la organización de los documentos que se encuentran en el Archivo Central, para asi poder realizar el metodo de reprografia adoptado por la entidad es decir Digitalización, por lo cual se solicito otro escaner el cual fue entregado en septiembre.</t>
  </si>
  <si>
    <t>No corresponde la evidencia a los criterios definidos</t>
  </si>
  <si>
    <t>Se ha digitalizado más del 70% de los documentos que se encontraban archivados en el área, así como los documentos recibidos recientemente. Todo lo digitalizado ha sido almacenado en un Drive creado específicamente para este proceso. Entre los documentos digitalizados se incluyen resoluciones y obligaciones, los cuales son solicitados de manera recurrente por la entidad, especialmente los más recientes.</t>
  </si>
  <si>
    <t>Se ha logrado un avance significativo en el proceso de digitalización, considerando que anteriormente no se contaba con ningún documento digitalizado. No obstante, se recomienda o propone la incorporación de un mayor número de personal para completar esta tarea y asegurar que todos los documentos sean escaneados y almacenados adecuadamente en una base de datos, logrando así la digitalización total de los archivos.</t>
  </si>
  <si>
    <t xml:space="preserve">No se cargaron las evidencias para verificacion del cumplimiento de los criterios de evaluación. </t>
  </si>
  <si>
    <t>Capsulas informativas del Proceso de Gestión Documental</t>
  </si>
  <si>
    <t>Capsulas informativas</t>
  </si>
  <si>
    <t>No. Capsulas informativas publicadas/No. Capsulas informativas programadas</t>
  </si>
  <si>
    <t>Infografías y formato parcelador de publicación</t>
  </si>
  <si>
    <t>Se realizó de manera formal, tanto de forma presencial como por correo, la solicitud al proceso de Comunicaciones para la creación de una cápsula informativa del proceso de archivo. Para ello, se completaron dos formatos en los cuales se especificó la información que debía incluirse en el flyer, el cual es elaborado por dicho proceso. A pesar de haberse reiterado la solicitud por correo, nunca se recibió respuesta.</t>
  </si>
  <si>
    <t>Se realizó la solicitud de manera formal y se hizo seguimiento en varias ocasiones. Se actualizó la información, ya que el proceso de archivo revisó y modificó el contenido del flyer. A pesar de haber enviado un correo con las actualizaciones, el proceso de Comunicaciones no generó las cápsulas informativas para el área de archivo.</t>
  </si>
  <si>
    <t xml:space="preserve">Dentro de las evidencias se identifican las solicitudes y los correos enviados al area de comunicaciones. Sin embargo no se cumple con los criterios de evaluación ya que dichas evidencias no son acorde a lo planteado. </t>
  </si>
  <si>
    <t>no reportan</t>
  </si>
  <si>
    <t xml:space="preserve">Se reporto el monitoreo y seguimiento a los riegos de gestion IV trimestre </t>
  </si>
  <si>
    <t>Se reporto el seguimiento al PAAC del III cuatrimestre</t>
  </si>
  <si>
    <t>Meas de trabajo con Mejora Continua</t>
  </si>
  <si>
    <t>Se reporto indicadores</t>
  </si>
  <si>
    <t>Trimestre III: Documento formalizado Programa de gestión documental
Trimestre IV:Documento formalizado Plan de Preservación Digital, Plan de Conservación Documental</t>
  </si>
  <si>
    <t>NO REPORTAN</t>
  </si>
  <si>
    <t>No se Actualizo ningun documento del sistema de gestion Documental.</t>
  </si>
  <si>
    <t>No habia profesional para realizar la actualizacion de los documentos.</t>
  </si>
  <si>
    <t>Alcance al Plan de mejora institucional reportado</t>
  </si>
  <si>
    <t>No se realizo reporte de plan de mejora.</t>
  </si>
  <si>
    <t>Se realizo las actas de referentes estrategicos  de los meses de junio, julio, agosto, septiembre, octubre, noviembre y diciembre.</t>
  </si>
  <si>
    <t>Se evidencian actas</t>
  </si>
  <si>
    <t>N.A,.</t>
  </si>
  <si>
    <t>Se recibio la transeferencia documental de los procesos planeacion, anlaisis y mejora continua, talento humano, gestion financiera y infraestructura.</t>
  </si>
  <si>
    <t>Reportan informacion</t>
  </si>
  <si>
    <t>PILARES</t>
  </si>
  <si>
    <t>OBJETIVOS ESTRATEGICOS</t>
  </si>
  <si>
    <t>OBJETIVOS TACTICOS</t>
  </si>
  <si>
    <t>PROCESOS</t>
  </si>
  <si>
    <t xml:space="preserve">4. Gestión de Cooperación yAlianzas Estratégicas </t>
  </si>
  <si>
    <t>5. Gestión de Atención al Usuario</t>
  </si>
  <si>
    <t>6. Formulación, actualización y acompañamiento Normativo y OPERATIVO</t>
  </si>
  <si>
    <t>3.2.Mejorar la infraestructura física de la entidad para contribuir al adecuado desempeño de la entidad</t>
  </si>
  <si>
    <t>7. Coordinación Operativa</t>
  </si>
  <si>
    <t>8. Fortalecimiento Bomberil para la Respuesta</t>
  </si>
  <si>
    <t>4.1.Gestionar recursos para el fortalecimiento de las Instituciones de Bomberos de Colombia.​</t>
  </si>
  <si>
    <t>4.3.Consolidar relaciones con la comunidad internacional</t>
  </si>
  <si>
    <t>16. Gestión Jurídica</t>
  </si>
  <si>
    <t>17. Gestión Documental</t>
  </si>
  <si>
    <t>19. Evaluacióny Seguimiento</t>
  </si>
  <si>
    <t>FUNCIONAMIENTO</t>
  </si>
  <si>
    <t>POLITICAS MIPG</t>
  </si>
  <si>
    <t>Fortalecimiento Organizaciónal y simplificación de procesos</t>
  </si>
  <si>
    <t>DIMENSIONES MIPG</t>
  </si>
  <si>
    <t>Mejora Normativa</t>
  </si>
  <si>
    <t>Racionalización de trámites</t>
  </si>
  <si>
    <t>PACTOS PND</t>
  </si>
  <si>
    <t>Gestión de la Información Estadística</t>
  </si>
  <si>
    <t>Pacto por la Legalidad</t>
  </si>
  <si>
    <t>Pacto por la Sostenibilidad</t>
  </si>
  <si>
    <t>ESTADO DEL PRODUCTO</t>
  </si>
  <si>
    <t>Sin iniciar</t>
  </si>
  <si>
    <t>En ejecución</t>
  </si>
  <si>
    <t>REP</t>
  </si>
  <si>
    <t>Reprogramado</t>
  </si>
  <si>
    <t>MOD</t>
  </si>
  <si>
    <t>Modificado</t>
  </si>
  <si>
    <t>Finalizado</t>
  </si>
  <si>
    <t>Eliminado</t>
  </si>
  <si>
    <t>SUSP</t>
  </si>
  <si>
    <t>Suspendido</t>
  </si>
  <si>
    <t xml:space="preserve">GESTIÓN DE TALENTO HUMANO </t>
  </si>
  <si>
    <t>CRONOGRAMA DE ACTIVIDADES PLAN ANUAL DE VACANTES</t>
  </si>
  <si>
    <t>VIGENCIA 2024</t>
  </si>
  <si>
    <t>Nº</t>
  </si>
  <si>
    <t xml:space="preserve">ACTIVIDAD </t>
  </si>
  <si>
    <t>OBJETIVO</t>
  </si>
  <si>
    <t>LIDER DEL PROCESO</t>
  </si>
  <si>
    <t>PROCESO RESPONSABLE</t>
  </si>
  <si>
    <t>ESTABLECIMIENTO</t>
  </si>
  <si>
    <t>POBLACION OBJETO</t>
  </si>
  <si>
    <t>FECHA</t>
  </si>
  <si>
    <t>ESTADO</t>
  </si>
  <si>
    <t>ENE</t>
  </si>
  <si>
    <t>FEB</t>
  </si>
  <si>
    <t>MAR</t>
  </si>
  <si>
    <t>ABRIL</t>
  </si>
  <si>
    <t>MAYO</t>
  </si>
  <si>
    <t>JUNIO</t>
  </si>
  <si>
    <t>JULIO</t>
  </si>
  <si>
    <t>AGO</t>
  </si>
  <si>
    <t>SEPT</t>
  </si>
  <si>
    <t>OCT</t>
  </si>
  <si>
    <t>NOV</t>
  </si>
  <si>
    <t>DIC</t>
  </si>
  <si>
    <t>Estructurar el Plan Anual de Vacantes</t>
  </si>
  <si>
    <t>Analizar y consolidar la informacion relacionada con los vacantes de la entidad</t>
  </si>
  <si>
    <t>Subdirector Administrativo y Financiero</t>
  </si>
  <si>
    <t>Gestión de talento humano</t>
  </si>
  <si>
    <t>DNBC</t>
  </si>
  <si>
    <t xml:space="preserve">Funcionarios </t>
  </si>
  <si>
    <t>Enero</t>
  </si>
  <si>
    <t>PROGRAMADO</t>
  </si>
  <si>
    <t>EJECUTADO</t>
  </si>
  <si>
    <t>Tener actualizado el plan anual de vacantes</t>
  </si>
  <si>
    <t xml:space="preserve">Gestionar el plan anual de vacantes </t>
  </si>
  <si>
    <t>Todo el año</t>
  </si>
  <si>
    <t>PROGRAMADO MES A MES</t>
  </si>
  <si>
    <t>EJECUTADOS</t>
  </si>
  <si>
    <t>NO EJECUTADOS</t>
  </si>
  <si>
    <t>PORCENTAJE DE CUMPLIMIENTO</t>
  </si>
  <si>
    <t>PORCENTAJE DE NO CUMPLIMIENTO</t>
  </si>
  <si>
    <t>Elaborado por: Vicky Ordoñez Muñoz - Profesional contratista/Gestión de Talento Humano</t>
  </si>
  <si>
    <t>Revisado por</t>
  </si>
  <si>
    <t>Carlos Armando Lopez/Subdirector Administrativo y Financiero E</t>
  </si>
  <si>
    <t xml:space="preserve">Revisado y aprobado por: </t>
  </si>
  <si>
    <t>NO EJECUTADO</t>
  </si>
  <si>
    <t xml:space="preserve">DIA DE LA SEGURIDAD </t>
  </si>
  <si>
    <t>ANÁLISIS</t>
  </si>
  <si>
    <t>ANALISIS</t>
  </si>
  <si>
    <t>Actualización:</t>
  </si>
  <si>
    <t xml:space="preserve">PLAN DE PREVISIÓN GESTION DE TALENTO HUMANO </t>
  </si>
  <si>
    <t>CRONOGRAMA DE ACTIVIDADES PLAN PREVISION DEL TALENTO HUMANO</t>
  </si>
  <si>
    <t>Estructurar el Plan de prevision del recurso humano</t>
  </si>
  <si>
    <t>Analizar y consolidar la informacion relacionada con la prevision del recurso humano</t>
  </si>
  <si>
    <t>funcionarios</t>
  </si>
  <si>
    <t>Tener actualizado el plan de prevision del recurso humano</t>
  </si>
  <si>
    <t xml:space="preserve">Actualizar el plan de prevision con el fin de tener informacion de primera mano y realizar 
seguimiento al concurso de meritos y al proceso de 
Formalizacion del empleo público con equidad </t>
  </si>
  <si>
    <t>PROCESO GESTIÓN DE TALENTO HUMANO</t>
  </si>
  <si>
    <t>Código:</t>
  </si>
  <si>
    <t>CRONOGRAMA PLAN  ESTRATEGICO GESTIÓN DE TALENTO HUMANO VIGENCIA 2024</t>
  </si>
  <si>
    <t>Versión:</t>
  </si>
  <si>
    <t>Vigente desde:</t>
  </si>
  <si>
    <t xml:space="preserve">Aprobado Por: </t>
  </si>
  <si>
    <t>AÑO 2024</t>
  </si>
  <si>
    <t>PORCENTAJE DE CUBRIMIENTO</t>
  </si>
  <si>
    <t>PORCENTAJE DE NO CUBRIMIENTO</t>
  </si>
  <si>
    <t>ACTIVIDAD</t>
  </si>
  <si>
    <t>DESCRIPCION DE LA ACTIVIDAD</t>
  </si>
  <si>
    <t>RESPONSABLE</t>
  </si>
  <si>
    <t>POBLACIÓN OBJETO</t>
  </si>
  <si>
    <t xml:space="preserve">Planes Decreto 612 </t>
  </si>
  <si>
    <t xml:space="preserve">Identificar las necesidades y establecer los planes del proceso de gestion de Talento humano: 
Plan Estrategico, Plan de Bienestar e incentivos, Plan institucional de Capacitacion, Plan anual de Vacantes, Plan de Previones, Plan de Seguridad y Salud en el Trabajo </t>
  </si>
  <si>
    <t xml:space="preserve">Gestión de talento humano </t>
  </si>
  <si>
    <t xml:space="preserve">Funcionarios y contratistas </t>
  </si>
  <si>
    <t xml:space="preserve"> Ingreso, permanencia y retiro de la entidad </t>
  </si>
  <si>
    <t>Planeación - Elaboración del Plan Anual de ingreso, permanencia, situaciones admnistrativas y retiro del servicio.(enero)
Revisión del Plan Anual de ingreso, permanencia, situaciones admnistrativas y retiro del servicio (junio)
Rediseño del programa de inducción y reinducción (mayo)
Reinducción - Octubre</t>
  </si>
  <si>
    <t>Funcionarios</t>
  </si>
  <si>
    <t>Acuerdos de Gestion</t>
  </si>
  <si>
    <t>Entregar los formatos para que se realicen los acuerdos de gestion entre los directivos y seguimiento</t>
  </si>
  <si>
    <t>Gerente Publicos</t>
  </si>
  <si>
    <t>Evaluación de desempeño</t>
  </si>
  <si>
    <t>Realizar la concertacion y evaluación de desempeño de funcionarios de la entidad  bajo modalidad de libre nombramiento y remoción y realizar el analisis en cumplimiento de las metas de la entidad</t>
  </si>
  <si>
    <t>Funcionarios de libre nombramiento y remocion</t>
  </si>
  <si>
    <t>Medicion del rendimiento Laboral</t>
  </si>
  <si>
    <t>Realizar la concertacion y evaluación del rendimiento laboral de los funcionarios bajo modalidad de provisionalidad y de periodo de prueba
enero: evauacion de segundo semestre 2023
febrero: concertacion funcionarios bajo modalidad de provisionalidad
mayo: concertación objetivos de funcionarios en periodo de prueba
noviembre: evaluación de funcionarios en periodo de prueba</t>
  </si>
  <si>
    <t>Funcionarios en provisionalidad</t>
  </si>
  <si>
    <t xml:space="preserve">Gestionar la información en el SIGEP </t>
  </si>
  <si>
    <t xml:space="preserve">Hojas de vida y vinculacion de servidores - En el ingreso, permanencia y retiro de los funcionarios 
Monitoreo y seguimiento al SIGEP 
</t>
  </si>
  <si>
    <t xml:space="preserve">Historias laborales </t>
  </si>
  <si>
    <t xml:space="preserve">Mantener actualizadas las historias laborales de funcionarios de acuerdo a situaciones administrativas y novedades presentadas- de manera fisica y electronica 
</t>
  </si>
  <si>
    <t xml:space="preserve">Caracterizacion de funcionarios </t>
  </si>
  <si>
    <t xml:space="preserve">Matriz donde se identificar los empleos que pertenecen a la planta global, los grupos internos de trabajo y el tipo de vinculación,  nivel, código y grado; así como reportes por situaciones administrativas - trayectoria laboral </t>
  </si>
  <si>
    <t>Inclusion y diversidad</t>
  </si>
  <si>
    <t xml:space="preserve">Establecer y hacer seguimiento al programa en donde se establezca la vinculacion de personas con discapacidad, jovenes entre los 18 a 28 años de edad, participacion de mujeres en cargos maximo de nivel decisorio </t>
  </si>
  <si>
    <t xml:space="preserve">Comisión de Personal </t>
  </si>
  <si>
    <t>Llevar a cabo las reuniones mensuales de la Comisión de Personal según lo establecido en el reglamento y la normativa legal vigente, realizar actas e informe trimestral ante la CNSC</t>
  </si>
  <si>
    <t>Integrantes Comision de Personal</t>
  </si>
  <si>
    <t xml:space="preserve">Manual de Funciones </t>
  </si>
  <si>
    <t>Revisar y actualizar si es necesario, la informacion incluye las funciones y los perfiles de todos los empleos de la entidad por núcleos básicos del conocimiento, así como las competencias del Decreto 1083 de 2015 y competencias funcionales</t>
  </si>
  <si>
    <t>Actos Administrativos por situaciones Administrativas</t>
  </si>
  <si>
    <t>Realización de actos administrativos (consolidacion de todo acto expedido en ingreso, permanencia y retiro y demás que se requieran de acuerdo a trámites y solicitudes) - por demanda</t>
  </si>
  <si>
    <t xml:space="preserve">Funcionarios, contratistas </t>
  </si>
  <si>
    <t>Certificados Laborales</t>
  </si>
  <si>
    <t>Realización de certificados laborales - por demanda</t>
  </si>
  <si>
    <t>Desprendibles de pago</t>
  </si>
  <si>
    <t>Realización de desprendibles de pago cuando se requieran</t>
  </si>
  <si>
    <t>Codigo de integridad y Estrategia para la gestion de conflictos de intereses - declaracion de bienes y rentas - (integridad publica)</t>
  </si>
  <si>
    <t xml:space="preserve">Actualización del código de ética - política de integridad (mayo)
Planeacion - Diseño de la estratégia (mayo)
Pedagodia - Sensibilizacion y capacitacion (junio, noviembre)
Seguimiento y evaluacion - Declaración de bienes y rentas (julio) - Conflictos de intereses (julio) Ley 2013 del 2019 
</t>
  </si>
  <si>
    <t xml:space="preserve">Matriz legal TH </t>
  </si>
  <si>
    <t xml:space="preserve">Actualizar la matriz legal con normatividad aplicable al proceso de gestion de talento humano </t>
  </si>
  <si>
    <t xml:space="preserve">Desvinculación asistidada y  Transferencia de conocimiento </t>
  </si>
  <si>
    <t>Implementar mecanismos para gestionar el conocimiento los cuales deben ser adoptados por cada uno de los procesos de la DNBC - realizar  las entrevistas e informes de retiro (a demanda, en caso de desvinculación)</t>
  </si>
  <si>
    <t>Contestacion Orfeos</t>
  </si>
  <si>
    <t>De acuerdo a requerimientos</t>
  </si>
  <si>
    <t>Funcionarios y requermientos externos</t>
  </si>
  <si>
    <t>NOEJECUTADO</t>
  </si>
  <si>
    <t xml:space="preserve">PORCESO GESTION DE TALENTO HUMANO </t>
  </si>
  <si>
    <t>Código</t>
  </si>
  <si>
    <t xml:space="preserve">PLAN DE BIENESTAR E INCENTIVOS </t>
  </si>
  <si>
    <t>Versión</t>
  </si>
  <si>
    <t>Vigente desde</t>
  </si>
  <si>
    <t>NUMERO DE ACTIVIDADES PROGRAMADAS</t>
  </si>
  <si>
    <t>NUMERO DE ACTIVIDADES REALIZADAS</t>
  </si>
  <si>
    <t>NUMERO DE ACTIVIDADES NO REALIZADAS</t>
  </si>
  <si>
    <t>EJE TEMATICO</t>
  </si>
  <si>
    <t xml:space="preserve">EVALUACIÓN </t>
  </si>
  <si>
    <t xml:space="preserve">RESPONSABLE </t>
  </si>
  <si>
    <t xml:space="preserve">Realizar y Consolidar el Diagnóstico de Necesidades </t>
  </si>
  <si>
    <t>No evaluar</t>
  </si>
  <si>
    <t xml:space="preserve">Subdirector Administrativo y Financiero - Gestion de Talento Humano </t>
  </si>
  <si>
    <t xml:space="preserve">Programado </t>
  </si>
  <si>
    <t>Ejecutado</t>
  </si>
  <si>
    <t>Elaboración del Plan de Bienestar e Incentivos Vigencia 2023</t>
  </si>
  <si>
    <t xml:space="preserve">Promocionar el uso de la bicicleta </t>
  </si>
  <si>
    <t xml:space="preserve">Convivencia social </t>
  </si>
  <si>
    <t>Evaluar</t>
  </si>
  <si>
    <t xml:space="preserve">Torneo inter dependencia </t>
  </si>
  <si>
    <t>Convivencia social</t>
  </si>
  <si>
    <t xml:space="preserve">Evaluar </t>
  </si>
  <si>
    <t>Cumpleaños (por medio de un correo felicitar a los funcionarios y como incentivo se otorga dia compensatorio de cumpleaños - dentro del mes )</t>
  </si>
  <si>
    <t>Equilibrio psicosocial</t>
  </si>
  <si>
    <t xml:space="preserve">Conmemoración Día Internacional de la Mujer y del hombre </t>
  </si>
  <si>
    <t xml:space="preserve">Taller - proyecto de vida </t>
  </si>
  <si>
    <t>Dia de la familia</t>
  </si>
  <si>
    <t xml:space="preserve">Funcionarios y nucleo familiar </t>
  </si>
  <si>
    <t>Día del Servidor Público (27 junio)</t>
  </si>
  <si>
    <t xml:space="preserve">Semana de los valores </t>
  </si>
  <si>
    <t>Día del Bombero</t>
  </si>
  <si>
    <t xml:space="preserve">Estimulos e incentivos para el  bienestar laboral, equilibrio psicosocial y familiar  </t>
  </si>
  <si>
    <t>Conmemoración Decembrina (Decoración Navideña -novena de aguinaldos )</t>
  </si>
  <si>
    <t xml:space="preserve">Tarde de cine o teatro  </t>
  </si>
  <si>
    <t xml:space="preserve">Equilibrio laboral y familiar </t>
  </si>
  <si>
    <t xml:space="preserve">Realizar actividades relacionadas con  artes y artesanias que permitan desarollar habilidades </t>
  </si>
  <si>
    <t>Desvinculación asistida para pre-pensionados  (Taller normativo y vivencial  acerca de los cierres y apertura de ciclos a lo largo de la vida.)</t>
  </si>
  <si>
    <t>Salud mental</t>
  </si>
  <si>
    <t xml:space="preserve">Funcionarios - prepensionados </t>
  </si>
  <si>
    <t>Celebración hallowen / Premiacion disfraces</t>
  </si>
  <si>
    <t xml:space="preserve">Intervención resultado de bateria riesgo psicosocial </t>
  </si>
  <si>
    <t xml:space="preserve">Desvinculación asistida  - apoyo emocional - Funcionarios </t>
  </si>
  <si>
    <t xml:space="preserve"> Promoción feria de vivienda  </t>
  </si>
  <si>
    <t xml:space="preserve">Alianzas interinstitucionales </t>
  </si>
  <si>
    <t>Intervención resultado de la medición de clima laboral (junio: medición)</t>
  </si>
  <si>
    <t>Divulgación de servicios: recreación, deporte, educación</t>
  </si>
  <si>
    <t xml:space="preserve">Promoción programa servimos  </t>
  </si>
  <si>
    <t xml:space="preserve">Estrategia salas amigas de la familia lactante </t>
  </si>
  <si>
    <t>Capacitación en  Diversidad y equidad de genero</t>
  </si>
  <si>
    <t xml:space="preserve">Estilos de vida saludable </t>
  </si>
  <si>
    <t xml:space="preserve">Tiempo compensado en semana santa y fin de año </t>
  </si>
  <si>
    <t xml:space="preserve">
Reconocimiento al mejor funcionario calificado por evaluacion, atención al ciudadano y plan de acción.
Reconocimiento de la trayectoria laboral  y agradecimiento por el servicio prestado a las personas que se desvinculan (por demanda). </t>
  </si>
  <si>
    <t xml:space="preserve">Establecer  y realizar seguimiento al programa entorno laboral saludable </t>
  </si>
  <si>
    <t xml:space="preserve">Medición de clima organizacional </t>
  </si>
  <si>
    <t xml:space="preserve">Elaborado por: Vicky Ordoñez  Muñoz Profesional contratista/ gestion de talento humano 
Amparo Cortes- Profesional contratista/ gestion de talento humano </t>
  </si>
  <si>
    <t xml:space="preserve">Revisado por: Carlos Armando Lopez/Subdirector Adminsitrativo y financiero E
</t>
  </si>
  <si>
    <t xml:space="preserve">Aprobado por: </t>
  </si>
  <si>
    <t>CRONOGRAMA PIC</t>
  </si>
  <si>
    <t>NUMERO DE CAPACITACIONES PROGRAMADAS</t>
  </si>
  <si>
    <t>NUMERO DE CAPACITACIONES REALIZADAS</t>
  </si>
  <si>
    <t>NUMERO DE CAPACITACIONES NO REALIZADAS</t>
  </si>
  <si>
    <t>TEMATICA</t>
  </si>
  <si>
    <t xml:space="preserve">TIPO DE EDUCACION </t>
  </si>
  <si>
    <t>EJE TEMATICO DEL PIC</t>
  </si>
  <si>
    <t>COMPETENCIA</t>
  </si>
  <si>
    <t>EVALUACIÓN DE IMPACTO</t>
  </si>
  <si>
    <t>Realizar y consolidar el diagnóstico de necesidades</t>
  </si>
  <si>
    <t>Diagnostico de necesidades</t>
  </si>
  <si>
    <t xml:space="preserve">Subdirector administrativo y financiero - Gestion de Talento Humano </t>
  </si>
  <si>
    <t>Programado</t>
  </si>
  <si>
    <t xml:space="preserve">Ejecutado </t>
  </si>
  <si>
    <t>Elaboración plan anual de capacitación vigencia 2024</t>
  </si>
  <si>
    <t xml:space="preserve">No Aplica </t>
  </si>
  <si>
    <t>Elaboracion de Plan</t>
  </si>
  <si>
    <t>Realizar reinducción general y de SST a funcionarios y contratistas</t>
  </si>
  <si>
    <t xml:space="preserve">Informal </t>
  </si>
  <si>
    <t xml:space="preserve">Probidad y ético de los público </t>
  </si>
  <si>
    <t>General</t>
  </si>
  <si>
    <t xml:space="preserve">Capacitación </t>
  </si>
  <si>
    <t>Actualización tributaria 2024</t>
  </si>
  <si>
    <t xml:space="preserve">Gestión de conocimiento y la innovación </t>
  </si>
  <si>
    <t xml:space="preserve"> Gestión Administrativa y financiera </t>
  </si>
  <si>
    <t xml:space="preserve">Redacción y ortografía </t>
  </si>
  <si>
    <t>Contratación estatal – diplomado</t>
  </si>
  <si>
    <t>Fortalecimiento de las capacidades en la innovación</t>
  </si>
  <si>
    <t xml:space="preserve">Gestión de análisis y mejora continua </t>
  </si>
  <si>
    <t>Microsoft 365 (excel teams word)</t>
  </si>
  <si>
    <t>Innovación pública digital</t>
  </si>
  <si>
    <t>Normatividad de asuntos disciplinarios</t>
  </si>
  <si>
    <t>Creacion de valor público</t>
  </si>
  <si>
    <t>Proyectos de gestión o formulación de proyectos</t>
  </si>
  <si>
    <t>Servicios ciudadanos digitales</t>
  </si>
  <si>
    <t xml:space="preserve">Transformación digital </t>
  </si>
  <si>
    <t>Decisiones basadas en datos (big data)</t>
  </si>
  <si>
    <t>Seguridad de la información y privacidad de los datos personales</t>
  </si>
  <si>
    <t>Técnicas de redacción PQRS</t>
  </si>
  <si>
    <t>Trabajo en equipo</t>
  </si>
  <si>
    <t xml:space="preserve">Creacion de valor público </t>
  </si>
  <si>
    <t>Sensibilizacion</t>
  </si>
  <si>
    <t xml:space="preserve">No evaluar </t>
  </si>
  <si>
    <t>Comunicación asertiva</t>
  </si>
  <si>
    <t>Orientación y atención al usuario</t>
  </si>
  <si>
    <t>Manejo y uso de secop  II</t>
  </si>
  <si>
    <t>ORFEO</t>
  </si>
  <si>
    <t>Socialización</t>
  </si>
  <si>
    <t>ISO 39001- Seguridad vial  - Diplomado</t>
  </si>
  <si>
    <t>Sistema integrado de conservación - plan de conservación documental</t>
  </si>
  <si>
    <t xml:space="preserve">Codigo de etica e integridad </t>
  </si>
  <si>
    <t xml:space="preserve">Gestión pública </t>
  </si>
  <si>
    <t>FANO</t>
  </si>
  <si>
    <t xml:space="preserve">Curso de integridad, transparencia y lucha contra la corrupción </t>
  </si>
  <si>
    <t xml:space="preserve">General </t>
  </si>
  <si>
    <t xml:space="preserve">CapacitaciÓn SST. Temas a tratar:
Inducción SST
Manejo de cargas
Brigada de emergencias
Acoso laboral
Comite de convivencia
COPASST
Riesgos
Reporte de accidentes laborales
Actos y condiciones inseguras
Estilos de vida saludable
PEVS
Vigilancia epidemiológica
Uso adecuado de elementos de protección personal
Medidas de intervención
</t>
  </si>
  <si>
    <t xml:space="preserve">Elaborado por: Vicky Ordoñez Muñoz- Profesional contratista GTH
Yenny Lozano- Profesional contratista/ gestion de talento humano </t>
  </si>
  <si>
    <t>EN EJECUCION</t>
  </si>
  <si>
    <t>LUZ DARY
TENTATIVA EN 24 JULIO</t>
  </si>
  <si>
    <t>Microsoft 365 (excel teams word)
30 de julio</t>
  </si>
  <si>
    <t>ing JHONY HELD</t>
  </si>
  <si>
    <t>i</t>
  </si>
  <si>
    <r>
      <t>Normatividad de asuntos disciplinarios
"Regimen disciplinarios de los servidores publicos"</t>
    </r>
    <r>
      <rPr>
        <b/>
        <sz val="8"/>
        <color rgb="FF000000"/>
        <rFont val="Arial"/>
        <family val="2"/>
      </rPr>
      <t xml:space="preserve">
(Deberes y derechos de servidores públicos) Preventiva - 21 agosto fecha tentativa</t>
    </r>
    <r>
      <rPr>
        <sz val="8"/>
        <color rgb="FF000000"/>
        <rFont val="Arial"/>
        <family val="2"/>
      </rPr>
      <t xml:space="preserve">
Realizar acta de cumplimiento del plan preventivo</t>
    </r>
    <r>
      <rPr>
        <b/>
        <sz val="8"/>
        <color rgb="FF000000"/>
        <rFont val="Arial"/>
        <family val="2"/>
      </rPr>
      <t xml:space="preserve">
(Derechos de petición) NOVIEMBRE 20</t>
    </r>
    <r>
      <rPr>
        <sz val="8"/>
        <color rgb="FF000000"/>
        <rFont val="Arial"/>
        <family val="2"/>
      </rPr>
      <t xml:space="preserve">
Preparar accion preventiva</t>
    </r>
  </si>
  <si>
    <t>ing</t>
  </si>
  <si>
    <t>Seguridad de la información y privacidad de los datos personales
23 de julio</t>
  </si>
  <si>
    <r>
      <t>EJECUTADO</t>
    </r>
    <r>
      <rPr>
        <sz val="8"/>
        <color rgb="FF000000"/>
        <rFont val="Arial"/>
        <family val="2"/>
      </rPr>
      <t xml:space="preserve">
5/07/2024</t>
    </r>
  </si>
  <si>
    <t xml:space="preserve">FUNCIONARIOS  </t>
  </si>
  <si>
    <r>
      <t>EJECUTADO</t>
    </r>
    <r>
      <rPr>
        <sz val="8"/>
        <color rgb="FF000000"/>
        <rFont val="Arial"/>
        <family val="2"/>
      </rPr>
      <t xml:space="preserve">
04/07/2024</t>
    </r>
  </si>
  <si>
    <r>
      <t>EJECUTADO</t>
    </r>
    <r>
      <rPr>
        <sz val="8"/>
        <color rgb="FF000000"/>
        <rFont val="Arial"/>
        <family val="2"/>
      </rPr>
      <t xml:space="preserve">
29/05/2024
30/05/2024</t>
    </r>
  </si>
  <si>
    <t>PROCESOS FINANCIEROS</t>
  </si>
  <si>
    <r>
      <t>EJECUTADO</t>
    </r>
    <r>
      <rPr>
        <sz val="8"/>
        <color rgb="FF000000"/>
        <rFont val="Arial"/>
        <family val="2"/>
      </rPr>
      <t xml:space="preserve">
27/05/2024</t>
    </r>
  </si>
  <si>
    <t>GESTION FINANCIERA</t>
  </si>
  <si>
    <t>FORMATOS DE CUENTA DE COBRO</t>
  </si>
  <si>
    <r>
      <t>EJECUTADO</t>
    </r>
    <r>
      <rPr>
        <sz val="8"/>
        <color rgb="FF000000"/>
        <rFont val="Arial"/>
        <family val="2"/>
      </rPr>
      <t xml:space="preserve">
2/07/2024</t>
    </r>
  </si>
  <si>
    <t>EJECUTAD</t>
  </si>
  <si>
    <t>SST</t>
  </si>
  <si>
    <t>CapacitaciÓn SST. Temas a tratar:
Inducción SST
Manejo de cargas
Brigada de emergencias
Acoso laboral
Comite de convivencia
COPASST
Riesgos
Reporte de accidentes laborales
Actos y condiciones inseguras
Taller Motivacional
Estilos de vida saludable
PEVS
Vigilancia epidemiológica
Uso adecuado de elementos de protección personal
Medidas de intervención</t>
  </si>
  <si>
    <t>EJECUTADOS MES A MES</t>
  </si>
  <si>
    <t>EJECUTADOS POR TRIMESTRE</t>
  </si>
  <si>
    <t>PORCENTAJE POR TRIMESTRE</t>
  </si>
  <si>
    <t>SISTEMA DE GESTIÓN DE SEGURIDAD Y SALUD EN EL TRABAJO - SG-SST DNBC - CRONOGRAMA 2024</t>
  </si>
  <si>
    <t>CICLO</t>
  </si>
  <si>
    <t>ESTANDAR</t>
  </si>
  <si>
    <t>COMPONENTE</t>
  </si>
  <si>
    <t xml:space="preserve">ENTREGABLE </t>
  </si>
  <si>
    <t>RECURSOS</t>
  </si>
  <si>
    <t>SEGUIMIENTO</t>
  </si>
  <si>
    <t>CRONOGRAMA  2024</t>
  </si>
  <si>
    <t xml:space="preserve">Porcentaje de cumplimiento </t>
  </si>
  <si>
    <t>PORCENTAJE DE CUMPLIMIENTO POR CICLO</t>
  </si>
  <si>
    <t>ABR</t>
  </si>
  <si>
    <t>MAY</t>
  </si>
  <si>
    <t>JUN</t>
  </si>
  <si>
    <t>JUL</t>
  </si>
  <si>
    <t>SEP</t>
  </si>
  <si>
    <t>PLANEAR</t>
  </si>
  <si>
    <t>1. RECURSOS (10%)</t>
  </si>
  <si>
    <t>Recursos financieros, técnicos humanos y de otra índole requeridos para coordinar y desarrollar el Sistema de Gestión de la Seguridad y Salud en el Trabajo (SG-SST) (4%)</t>
  </si>
  <si>
    <t>1.1.2  Suscribir  las responsabilidades en el Sistema de Gestión de Seguridad y Salud en el Trabajo - SG -SST.</t>
  </si>
  <si>
    <t xml:space="preserve">Formatos diligenciados y firmados responsabilidades en SST
</t>
  </si>
  <si>
    <t>Profesionales SST
ARL</t>
  </si>
  <si>
    <t>p</t>
  </si>
  <si>
    <t>E</t>
  </si>
  <si>
    <t>1.1.3 Asignar los recursos para la implementación del SG-SST</t>
  </si>
  <si>
    <t>Formato diligenciado y firmado de  la asignación de recursos  (Presupuesto anual)</t>
  </si>
  <si>
    <t>Presupuesto SST</t>
  </si>
  <si>
    <t>1.1.4 Realizar la afiliación al Sistema General de Riesgos Laborales</t>
  </si>
  <si>
    <t>Listado de afiliados activos en ARL (a demanda)</t>
  </si>
  <si>
    <t>P</t>
  </si>
  <si>
    <t xml:space="preserve">1.1.6  Realizar seguimiento a reuniones mensuales  COPASST </t>
  </si>
  <si>
    <t xml:space="preserve">Actas mensuales de reunión </t>
  </si>
  <si>
    <t xml:space="preserve">Profesionales SST
</t>
  </si>
  <si>
    <t>1.1.8 Realizar seguimiento a reuniones trimestrales Comité Convivencia. COMVILAB</t>
  </si>
  <si>
    <r>
      <t xml:space="preserve">Informe trimestral, anual  y actas de reunión, 
Informes Trimestrales a la alta dirección, </t>
    </r>
    <r>
      <rPr>
        <sz val="11"/>
        <rFont val="Calibri"/>
        <family val="2"/>
        <scheme val="minor"/>
      </rPr>
      <t>informe anual</t>
    </r>
    <r>
      <rPr>
        <sz val="11"/>
        <color theme="1"/>
        <rFont val="Calibri"/>
        <family val="2"/>
        <scheme val="minor"/>
      </rPr>
      <t xml:space="preserve"> a la alta dirección </t>
    </r>
  </si>
  <si>
    <t>Profesionales SST</t>
  </si>
  <si>
    <t>Capacitación en el Sistema de Gestión de la Seguridad y Salud en el Trabajo. (6%)</t>
  </si>
  <si>
    <t>1.2.1 Revisar y/o actualizar   programas  de Promoción y Prevención - PyP</t>
  </si>
  <si>
    <t>Documento actualizado</t>
  </si>
  <si>
    <t xml:space="preserve">1.2.2 Realizar inducción y Reinducción en Sistema de Gestión de Seguridad y Salud en el Trabajo SG-SST y ejecucion mensual de plan de capaciotacion. </t>
  </si>
  <si>
    <t xml:space="preserve">Listas de asistencia  a demanda </t>
  </si>
  <si>
    <t>2. GESTIÓN INTEGRAL DEL SISTEMA GESTIÓN DE LA SEGURIDAD Y SALUD EN EL TRABAJO (15%)</t>
  </si>
  <si>
    <t>Política de Seguridad y Salud en el Trabajo (1%)</t>
  </si>
  <si>
    <t>2.1.1  Revisar y/o actualizar las  políticas del  SG -SST:
Política SST,  Política  de no consumo de alcohol sustancias  psicoactivas  y  Política de seguridad vial</t>
  </si>
  <si>
    <t xml:space="preserve"> Políticas  debidamente firmadas por el Capitán en jefe DNBC fechadas y comunicadas a funcionarios y contratistas </t>
  </si>
  <si>
    <t>Objetivos del SG-SST (1%)</t>
  </si>
  <si>
    <t>2.2.1 Revisar y/o actualizar objetivos definidos del SG-SST.</t>
  </si>
  <si>
    <t xml:space="preserve"> Objetivos del SG-SST  firmados por Capitán en jefe DNBC</t>
  </si>
  <si>
    <t>Evaluación inicial del SG – SST (1%)</t>
  </si>
  <si>
    <t>2.3.1 Reportar el estado del SG-SST al Ministerio del Trabajo (fondo de riesgos laborales)</t>
  </si>
  <si>
    <t xml:space="preserve">Documento soporte  de la  evaluación de los estándares mínimos del SG-SST </t>
  </si>
  <si>
    <t>Plan Anual de Trabajo (2%)</t>
  </si>
  <si>
    <t xml:space="preserve">2.4.1 Establecer Plan de Trabajo Anual (PTA) del SG-SST </t>
  </si>
  <si>
    <t>Documento Plan Anual de Trabajo firmado por el Capitán en jefe</t>
  </si>
  <si>
    <t>Rendición de cuentas (1%)</t>
  </si>
  <si>
    <t>2.6.1 Rendir cuentas del SG-SST</t>
  </si>
  <si>
    <t xml:space="preserve">Informe de rendición de cuentas </t>
  </si>
  <si>
    <t>Normatividad nacional vigente y aplicable en materia de SST (2%)</t>
  </si>
  <si>
    <t>2.7.1  Revisar y/o actualizar Matriz legal.</t>
  </si>
  <si>
    <t xml:space="preserve">Matriz de requisitos legales actualizada </t>
  </si>
  <si>
    <t>Adquisiciones (1%)</t>
  </si>
  <si>
    <t xml:space="preserve">Revisar y/o actualizar los requisitos para la compra de bienes y servicios </t>
  </si>
  <si>
    <t>Documento de requisitos en SST para la compra de bienes y servicios</t>
  </si>
  <si>
    <t>HACER</t>
  </si>
  <si>
    <t>3 GESTIÓN DE LA SALUD (20%)</t>
  </si>
  <si>
    <t>Condiciones de salud en el trabajo (9%)</t>
  </si>
  <si>
    <t xml:space="preserve">3.1.1 Realizar la descripción sociodemográfica </t>
  </si>
  <si>
    <t xml:space="preserve">Estadística de descripción Sociodemográfica  </t>
  </si>
  <si>
    <t xml:space="preserve">3.1.2. Diseño y Ejecucion del PVE Respiratorio, Auditio y Biologico  </t>
  </si>
  <si>
    <t xml:space="preserve">Realizar el diseño y ejecucion del PVE  Respiratorio, auditivo y Biologico,   para la poblacion objeto que tiene esta observacion en sus examenes ocupacionales </t>
  </si>
  <si>
    <t>3.1.2 Ejecutar actividades de Promoción y Prevención en Salud.</t>
  </si>
  <si>
    <t xml:space="preserve">evidencia ejecución de actividades 
(PVE cardiovascular, Desordenes musculo esqueléticos,  Psicosocial, visual, respiratorio,Auditivo y Biologico)
Semana de la Salud (julio)
Programa de habitos de vida saludable
Programa de Pausas Activas </t>
  </si>
  <si>
    <t xml:space="preserve">3.1.3. Actualizacion del Profesiograma </t>
  </si>
  <si>
    <t xml:space="preserve">Actualizacion del profesiograma, comunicación de perfiles de cargo a IPS   contratada, Carta de custodias medicas de la IPS . </t>
  </si>
  <si>
    <t xml:space="preserve">3.1.4. Analisis  general condiciones de salud de los trabajadores funcionarios y contratistas </t>
  </si>
  <si>
    <t xml:space="preserve">Informe de condiciones de salud de la IPS tratante
recomendaciones laborales examenes medicos de ingreso de contratistas y funcionarios </t>
  </si>
  <si>
    <t xml:space="preserve">3.1.5 Realizar  los exámenes médicos ocupacionales ingreso, Periodicos y Egreso según demanda </t>
  </si>
  <si>
    <t>Documentación tramites contractuales Secop 
Conceptos de EMOS</t>
  </si>
  <si>
    <t>Mecanismos de vigilancia de las condiciones de salud de los trabajadores. (6%)</t>
  </si>
  <si>
    <t>3.2.2 Realizar investigación de Accidentes, Incidentes y Enfermedad Laboral.</t>
  </si>
  <si>
    <t>Consolidado de investigación de ATEL según ocurrencia</t>
  </si>
  <si>
    <t>3.3.1 Medición de la severidad de los Accidentes de Trabajo y Enfermedad Laboral
-Medición de la frecuencia de los incidentes, Accidentes de Trabajo y Enfermedad Laboral
-Medición de la mortalidad de Accidentes de Trabajo y Enfermedad Laboral.
-Medición de la prevalencia de incidentes, Accidentes de Trabajo y Enfermedad Laboral
-Medición del ausentismo por incidentes, Accidentes de Trabajo y Enfermedad Laboral.</t>
  </si>
  <si>
    <t xml:space="preserve">Registro y análisis del indicador </t>
  </si>
  <si>
    <t>Identificación de peligros, evaluación y valoración de riesgos (15%)</t>
  </si>
  <si>
    <t>4.1.2  Realizar la actualización de la matriz de peligros de la entidad</t>
  </si>
  <si>
    <t>Matriz de peligros actualizada</t>
  </si>
  <si>
    <t>Medidas de prevención y control para intervenir los peligros /riesgos (15%)</t>
  </si>
  <si>
    <t xml:space="preserve">4.2.4 Realizar inspecciones rutinarias  a instalaciones y elementos de emergencia con acompañamiento del  COPASST  y/o Brigada de emergencias </t>
  </si>
  <si>
    <t xml:space="preserve">Informe consolidado de inspecciones </t>
  </si>
  <si>
    <t xml:space="preserve">5.1.2 Ejecutar actividades PPRE </t>
  </si>
  <si>
    <t xml:space="preserve">Conformación y formación de la brigada de emergencias
Planeación y participación en simulacro nacional capacitaciones Primeros Auxilios, Evacuacion y Rescate y maneo del Fuego </t>
  </si>
  <si>
    <t xml:space="preserve">5.2.3. Ejecutar del PESV </t>
  </si>
  <si>
    <t>Realizar informe semestral ejecución de actividades del PESV</t>
  </si>
  <si>
    <t xml:space="preserve">4.2.6. Actualizacion de Matriz de EPP </t>
  </si>
  <si>
    <t xml:space="preserve">Actualizacion de la matriz de EPP existente contra los perfiles de cargo y objetos de contrato </t>
  </si>
  <si>
    <t xml:space="preserve">4.2.7. Actualizaciion de estandares y procedimientos </t>
  </si>
  <si>
    <t xml:space="preserve">Actualizacion de procedimientos operativos </t>
  </si>
  <si>
    <t xml:space="preserve">4.2.8 Realizacion de mediciones higienicas en centros de trabajo </t>
  </si>
  <si>
    <t xml:space="preserve">Soportes de estudios de puesto de trabajo y de iluminacion con la gestion de las recomendaciones </t>
  </si>
  <si>
    <t>4.2.6 Entrega de Elementos de Protección Personal - EPP, se verifica con  funcionarios, contratistas y subcontratistas.</t>
  </si>
  <si>
    <t xml:space="preserve">Actualización de matriz  EPP  Y Soportes de entrega de Elementos de Protección  </t>
  </si>
  <si>
    <t>VERIFICAR</t>
  </si>
  <si>
    <t>6 VERIFICACIÓN  DEL SG-SST (5%)</t>
  </si>
  <si>
    <t>Gestión y resultados del SG-SST. (5%)</t>
  </si>
  <si>
    <t>6.1.1 Medir los Indicadores estructura, proceso y resultado.
-Medición de la severidad de los Accidentes de Trabajo y Enfermedad Laboral</t>
  </si>
  <si>
    <t>Matriz de indicadores estructura, proceso y resultado Decreto 1072 de 2015</t>
  </si>
  <si>
    <t>6.1.2 Realización de auditoria anual (control interno)</t>
  </si>
  <si>
    <t>Informe de auditoria realizada al SG-SST</t>
  </si>
  <si>
    <t>6.1.3 Revisión anual por la alta dirección, resultados y alcance de la auditoría.</t>
  </si>
  <si>
    <t xml:space="preserve">Informe de Revisión por la Alta dirección </t>
  </si>
  <si>
    <t>ACTUAR</t>
  </si>
  <si>
    <t>7 MEJORAMIENTO (10%)</t>
  </si>
  <si>
    <t>Acciones preventivas y correctivas con base en los resultados del SG-SST. (10%)</t>
  </si>
  <si>
    <t>7.1.1 Definir plan de mejoramiento con base en resultados de la auditoria del Sistema de Gestión de Seguridad y Salud en el Trabajo - SG -SST.</t>
  </si>
  <si>
    <t xml:space="preserve">Consolidado del Plan de Mejoramiento donde se identifican acciones preventivas y correctivas para el SG-SST </t>
  </si>
  <si>
    <t>NOMBRE Y APELLIDOS</t>
  </si>
  <si>
    <t>FIRMA</t>
  </si>
  <si>
    <t>PERIODO</t>
  </si>
  <si>
    <t>I TRIMESTRE</t>
  </si>
  <si>
    <t>II TRIMESTRE</t>
  </si>
  <si>
    <t>III TRIMESTRE</t>
  </si>
  <si>
    <t>IV TRIMESTRE</t>
  </si>
  <si>
    <t>CAPITAN EN JEFE DNBC</t>
  </si>
  <si>
    <t>LOURDES DEL SOCORRO PEÑA DEL VALLE</t>
  </si>
  <si>
    <t>Actividades Programadas</t>
  </si>
  <si>
    <t>SUBDIRECTOR ADMINISTRATIVO Y FINACIERO</t>
  </si>
  <si>
    <t>RAINER NARVAL NARANJO CHARRASQUIEL</t>
  </si>
  <si>
    <t>Actividades Ejecutadas</t>
  </si>
  <si>
    <t>RESPONSABLE DEL SISTEMA DE GESTION DE SEGURIDAD Y SALUD EN EL TRABAJO</t>
  </si>
  <si>
    <t>YINET XIMENA REYES GARCIA</t>
  </si>
  <si>
    <t>% de Ejecución</t>
  </si>
  <si>
    <t>DESCRIPCIÓN DEL INDICADOR</t>
  </si>
  <si>
    <t>META</t>
  </si>
  <si>
    <t>NOMBRE DEL INDICADOR</t>
  </si>
  <si>
    <t>Cumplimiento de Actividades Plan Anual SG - SST</t>
  </si>
  <si>
    <t>FORMULA</t>
  </si>
  <si>
    <t>Actividades Ejecutadas * 100 / Actividades Programadas</t>
  </si>
  <si>
    <t>Actividades programadas</t>
  </si>
  <si>
    <t>Cumplimiento de actividades</t>
  </si>
  <si>
    <t>Acumulado o Promedio</t>
  </si>
  <si>
    <t>Anexo 8- Programa de Gestion del Conocimiento e Innovacion en la DNBC</t>
  </si>
  <si>
    <t>Actividad</t>
  </si>
  <si>
    <t>Anexos</t>
  </si>
  <si>
    <t xml:space="preserve">Producto </t>
  </si>
  <si>
    <t>Responsables</t>
  </si>
  <si>
    <t>Fechas</t>
  </si>
  <si>
    <t>Realizar un diagnóstico participativo de las necesidades, capacidades y oportunidades de las entidades públicas en materia de gestión del conocimiento y la innovación, utilizando herramientas como encuestas, entrevistas, talleres y observación directa donde se pueda identificar los siguiente:</t>
  </si>
  <si>
    <t>1. Anexo-1-identificación de necesidades de investigación o análisis
2. Anexo-2-bitácora de conocimiento</t>
  </si>
  <si>
    <t xml:space="preserve">Diagnostico participativo </t>
  </si>
  <si>
    <t>Proceso de Gestion del talento humano y Mejora Continua</t>
  </si>
  <si>
    <t>Maximo al 31 de Diciembre de 2024</t>
  </si>
  <si>
    <r>
      <rPr>
        <sz val="26"/>
        <color theme="1"/>
        <rFont val="Century Gothic"/>
        <family val="2"/>
      </rPr>
      <t>·</t>
    </r>
    <r>
      <rPr>
        <sz val="10"/>
        <color theme="1"/>
        <rFont val="Century Gothic"/>
        <family val="2"/>
      </rPr>
      <t xml:space="preserve">   Indentificar las necesidades de fortalecimiento de capacidades en innovación. </t>
    </r>
  </si>
  <si>
    <r>
      <t>·</t>
    </r>
    <r>
      <rPr>
        <sz val="7"/>
        <color theme="1"/>
        <rFont val="Times New Roman"/>
        <family val="1"/>
      </rPr>
      <t xml:space="preserve">         </t>
    </r>
    <r>
      <rPr>
        <sz val="10"/>
        <color theme="1"/>
        <rFont val="Century Gothic"/>
        <family val="2"/>
      </rPr>
      <t>Identificar las necesidades de investigación de la DNBC</t>
    </r>
  </si>
  <si>
    <r>
      <t>·</t>
    </r>
    <r>
      <rPr>
        <sz val="7"/>
        <color theme="1"/>
        <rFont val="Times New Roman"/>
        <family val="1"/>
      </rPr>
      <t xml:space="preserve">         </t>
    </r>
    <r>
      <rPr>
        <sz val="10"/>
        <color theme="1"/>
        <rFont val="Century Gothic"/>
        <family val="2"/>
      </rPr>
      <t>Identificar y evaluar el estado de funcionamiento de las herramientas de uso y apropiación del conocimiento de la DNBC</t>
    </r>
  </si>
  <si>
    <r>
      <t>·</t>
    </r>
    <r>
      <rPr>
        <sz val="7"/>
        <color theme="1"/>
        <rFont val="Times New Roman"/>
        <family val="1"/>
      </rPr>
      <t xml:space="preserve">         </t>
    </r>
    <r>
      <rPr>
        <sz val="10"/>
        <color theme="1"/>
        <rFont val="Century Gothic"/>
        <family val="2"/>
      </rPr>
      <t>Identificar, clasificar y actualizar el conocimiento tácito para la planeación del conocimiento requerido por la DNBC</t>
    </r>
  </si>
  <si>
    <r>
      <t>·</t>
    </r>
    <r>
      <rPr>
        <sz val="7"/>
        <color theme="1"/>
        <rFont val="Times New Roman"/>
        <family val="1"/>
      </rPr>
      <t xml:space="preserve">         </t>
    </r>
    <r>
      <rPr>
        <sz val="10"/>
        <color theme="1"/>
        <rFont val="Century Gothic"/>
        <family val="2"/>
      </rPr>
      <t xml:space="preserve">Priorizar las necesidades de tecnología para la gestión del conocimiento y la innovación en la entidad, contar con acciones a corto, mediano y largo plazo para su adecuada gestión y evaluarlas periódicamente. </t>
    </r>
  </si>
  <si>
    <r>
      <t>·</t>
    </r>
    <r>
      <rPr>
        <sz val="7"/>
        <color theme="1"/>
        <rFont val="Times New Roman"/>
        <family val="1"/>
      </rPr>
      <t>        </t>
    </r>
    <r>
      <rPr>
        <sz val="10"/>
        <color theme="1"/>
        <rFont val="Century Gothic"/>
        <family val="2"/>
      </rPr>
      <t xml:space="preserve"> Identificar los  repositorios de conocimiento de la DNBC sean de fácil acceso para los interesados. </t>
    </r>
  </si>
  <si>
    <t xml:space="preserve">Diseñar e implementar un plan de acción estratégico que defina los objetivos, las actividades, los indicadores, los responsables y los recursos para desarrollar e impulsar la gestión del conocimiento y la innovación en DNBC alineado con sus planes estratégicos y sectoriales que contengan la siguientes actividades: </t>
  </si>
  <si>
    <t>Plan Estratégico Formulado</t>
  </si>
  <si>
    <t>* Consolidar un equipo de trabajo transversal o mesa de apoyo en Gestión del conocimiento articulada al SIGE en la DNBC (1Mejora Continua; 1 Misional-RUE; 1 TI; 1 TH; 1 Comunicaciones)</t>
  </si>
  <si>
    <t>Plan Estratégico Implementado</t>
  </si>
  <si>
    <t xml:space="preserve">·         Identificar por cada proceso de la entidad los datos que usan la entidad para la toma de decisiones. </t>
  </si>
  <si>
    <t>·         Generar herramientas de analítica institucional para el tratamiento de datos conocidas y usadas por los procesos  de la entidad.</t>
  </si>
  <si>
    <t>·         Identificar las habilidades y competencias del talento humano en materia de analítica.</t>
  </si>
  <si>
    <t xml:space="preserve">·         Generar lineamientos para la generación de acciones de aprendizaje basadas en problemas o proyectos. </t>
  </si>
  <si>
    <t xml:space="preserve">·         Abrir espacios de co-creación entre los procesos de la entidad  </t>
  </si>
  <si>
    <t>·         Crear espacios formales para compartir y retroalimentar su conocimiento en la DNBC</t>
  </si>
  <si>
    <t>·         Crear y fortalecer espacios de intercambio, aprendizaje y colaboración entre los procesos de la entidad  y otros actores relevantes del sector Interior con experiencias  de innovación, mediante redes, comunidades de práctica, eventos y plataformas virtuales.(Documentos Mapeo de Actores )</t>
  </si>
  <si>
    <t xml:space="preserve">Anexo-4-inventario de aliados estrategicos.                                    </t>
  </si>
  <si>
    <t>Proceso de Gestion del talento humano y Mejora Continua y Procesos Misionales</t>
  </si>
  <si>
    <t>Implementación de indicadores de Gestion del Conocimiento e Inovacion</t>
  </si>
  <si>
    <t>Implementacion del programa de la politica de Gestion de Conocimiento (incluye la estratégia de comunicación)</t>
  </si>
  <si>
    <t>Promover una cultura de gestión del conocimiento y la innovación en las los procesos de la DNBC, mediante acciones de sensibilización, capacitación, reconocimiento y motivación al personal, así como el desarrollo de competencias y habilidades para la generación, transferencia y aplicación de conocimientos e innovaciones.
Implementar los anexos de Transferencia de Aprendizaje  y de retención del conocimiento  en el Procesos de Talento Humano</t>
  </si>
  <si>
    <t>Anexo-3-retención del conocimiento.  
Anexo-5-transferencia de aprendizaje.</t>
  </si>
  <si>
    <t xml:space="preserve">Procedimiento Ingreso, Permanencia y Retiro de Funcionarios actualizado  asociando el  Formato de Retención del Conocimiento
Procedimiento Plan Anual de Capacitación asociando el  Formato de Transferencia de Aprendizaje </t>
  </si>
  <si>
    <t>Proceso de Gestion del talento humano y Mejora Continua y Procesos de la DNBC</t>
  </si>
  <si>
    <t>·         Implementar y monitorear mecanismos de gestión del conocimiento y la innovación en las entidades públicas, tales como sistemas de información, bases de datos, repositorios digitales, boletines, publicaciones, estudios de caso, lecciones aprendidas y buenas prácticas. (Creacion de repositorios en el onedrive de la DNBC en donde se pueda desponer: sistemas de información, bases de datos, repositorios digitales, boletines, publicaciones, estudios de caso, lecciones aprendidas y buenas prácticas.)</t>
  </si>
  <si>
    <t xml:space="preserve">Anexo-6-buenas practicas al interior de la entidad.          
Anexo-7-documentacion lecciones aprendidas.                                                              </t>
  </si>
  <si>
    <t>Proceso de Gestion del talento humano y Mejora Continua, Proceso de T.I y Procesos de la DNBC</t>
  </si>
  <si>
    <t>Evaluar y comunicar los resultados e impactos de la gestión del conocimiento y la innovación en la DNBC, utilizando indicadores cuantitativos y cualitativos, así como herramientas de difusión y divulgación como informes, presentaciones, videos y redes sociales.</t>
  </si>
  <si>
    <t xml:space="preserve">Anexo-7-documentacion lecciones aprendidas.                               </t>
  </si>
  <si>
    <t>Formulacion de indicadores de Gestion del Conocimiento e Inovacion e informe de implementacion de la politica y el programa de Gestion de Conocimiento, creacion de Piezas graficas para divulgacion en redes de la DNBC</t>
  </si>
  <si>
    <t>Equipo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</si>
</sst>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 #,##0_-;\-&quot;$&quot;\ * #,##0_-;_-&quot;$&quot;\ * &quot;-&quot;_-;_-@_-"/>
    <numFmt numFmtId="44" formatCode="_-&quot;$&quot;\ * #,##0.00_-;\-&quot;$&quot;\ * #,##0.00_-;_-&quot;$&quot;\ * &quot;-&quot;??_-;_-@_-"/>
    <numFmt numFmtId="43" formatCode="_-* #,##0.00_-;\-* #,##0.00_-;_-* &quot;-&quot;??_-;_-@_-"/>
    <numFmt numFmtId="164" formatCode="&quot;$&quot;\ #,##0"/>
    <numFmt numFmtId="165" formatCode="_-* #,##0_-;\-* #,##0_-;_-* &quot;-&quot;??_-;_-@_-"/>
    <numFmt numFmtId="166" formatCode="0;[Red]0"/>
  </numFmts>
  <fonts count="75" x14ac:knownFonts="1">
    <font>
      <sz val="11"/>
      <color theme="1"/>
      <name val="Calibri"/>
      <family val="2"/>
      <scheme val="minor"/>
    </font>
    <font>
      <sz val="11"/>
      <color theme="1"/>
      <name val="Calibri"/>
      <family val="2"/>
      <scheme val="minor"/>
    </font>
    <font>
      <sz val="10"/>
      <name val="Arial"/>
      <family val="2"/>
    </font>
    <font>
      <b/>
      <sz val="11"/>
      <color theme="0"/>
      <name val="Tahoma"/>
      <family val="2"/>
    </font>
    <font>
      <b/>
      <sz val="10"/>
      <color theme="1"/>
      <name val="Tahoma"/>
      <family val="2"/>
    </font>
    <font>
      <sz val="11"/>
      <color theme="1"/>
      <name val="Tahoma"/>
      <family val="2"/>
    </font>
    <font>
      <b/>
      <sz val="9"/>
      <color indexed="81"/>
      <name val="Tahoma"/>
      <family val="2"/>
    </font>
    <font>
      <sz val="9"/>
      <color indexed="81"/>
      <name val="Tahoma"/>
      <family val="2"/>
    </font>
    <font>
      <sz val="11"/>
      <color rgb="FF000000"/>
      <name val="Tahoma"/>
      <family val="2"/>
    </font>
    <font>
      <sz val="11"/>
      <name val="Tahoma"/>
      <family val="2"/>
    </font>
    <font>
      <sz val="10"/>
      <color rgb="FF000000"/>
      <name val="Tahoma"/>
      <family val="2"/>
    </font>
    <font>
      <sz val="10"/>
      <color theme="1"/>
      <name val="Tahoma"/>
      <family val="2"/>
    </font>
    <font>
      <b/>
      <sz val="11"/>
      <color theme="1"/>
      <name val="Tahoma"/>
      <family val="2"/>
    </font>
    <font>
      <sz val="11"/>
      <color rgb="FF000000"/>
      <name val="Tahoma"/>
      <family val="2"/>
      <charset val="1"/>
    </font>
    <font>
      <b/>
      <sz val="11"/>
      <color theme="1"/>
      <name val="Calibri"/>
      <family val="2"/>
      <scheme val="minor"/>
    </font>
    <font>
      <sz val="11"/>
      <name val="Calibri"/>
      <family val="2"/>
    </font>
    <font>
      <sz val="11"/>
      <color rgb="FF000000"/>
      <name val="Calibri"/>
      <family val="2"/>
    </font>
    <font>
      <sz val="11"/>
      <color theme="1"/>
      <name val="Arial"/>
      <family val="2"/>
    </font>
    <font>
      <sz val="7"/>
      <color theme="1"/>
      <name val="Times New Roman"/>
      <family val="1"/>
    </font>
    <font>
      <sz val="10"/>
      <color theme="1"/>
      <name val="Century Gothic"/>
      <family val="2"/>
    </font>
    <font>
      <sz val="26"/>
      <color theme="1"/>
      <name val="Century Gothic"/>
      <family val="2"/>
    </font>
    <font>
      <sz val="10"/>
      <color theme="1"/>
      <name val="Symbol"/>
      <family val="1"/>
      <charset val="2"/>
    </font>
    <font>
      <b/>
      <sz val="10"/>
      <color theme="0"/>
      <name val="Tahoma"/>
      <family val="2"/>
    </font>
    <font>
      <b/>
      <sz val="9"/>
      <color rgb="FFFFFFFF"/>
      <name val="Arial"/>
      <family val="2"/>
    </font>
    <font>
      <sz val="9"/>
      <color rgb="FF000000"/>
      <name val="Arial"/>
      <family val="2"/>
    </font>
    <font>
      <b/>
      <sz val="9"/>
      <color rgb="FF000000"/>
      <name val="Arial"/>
      <family val="2"/>
    </font>
    <font>
      <sz val="8"/>
      <color rgb="FF000000"/>
      <name val="Arial"/>
      <family val="2"/>
    </font>
    <font>
      <b/>
      <sz val="9"/>
      <color rgb="FF000000"/>
      <name val="Century Gothic"/>
      <family val="2"/>
    </font>
    <font>
      <sz val="11"/>
      <color rgb="FF000000"/>
      <name val="Calibri"/>
      <family val="2"/>
      <scheme val="minor"/>
    </font>
    <font>
      <sz val="11"/>
      <name val="Arial"/>
      <family val="2"/>
    </font>
    <font>
      <b/>
      <sz val="8"/>
      <color rgb="FFFFFFFF"/>
      <name val="Arial"/>
      <family val="2"/>
    </font>
    <font>
      <sz val="8"/>
      <color theme="1"/>
      <name val="Calibri"/>
      <family val="2"/>
      <scheme val="minor"/>
    </font>
    <font>
      <b/>
      <sz val="8"/>
      <color rgb="FF000000"/>
      <name val="Arial"/>
      <family val="2"/>
    </font>
    <font>
      <sz val="8"/>
      <name val="Arial"/>
      <family val="2"/>
    </font>
    <font>
      <sz val="8"/>
      <color theme="1"/>
      <name val="Arial"/>
      <family val="2"/>
    </font>
    <font>
      <b/>
      <sz val="8"/>
      <color theme="1"/>
      <name val="Arial"/>
      <family val="2"/>
    </font>
    <font>
      <b/>
      <sz val="8"/>
      <name val="Arial"/>
      <family val="2"/>
    </font>
    <font>
      <b/>
      <sz val="8"/>
      <color theme="1"/>
      <name val="Century Gothic"/>
      <family val="2"/>
    </font>
    <font>
      <b/>
      <sz val="9"/>
      <color rgb="FFFFFFFF"/>
      <name val="Century Gothic"/>
      <family val="2"/>
    </font>
    <font>
      <b/>
      <sz val="9"/>
      <name val="Century Gothic"/>
      <family val="2"/>
    </font>
    <font>
      <b/>
      <sz val="9"/>
      <color theme="0"/>
      <name val="Century Gothic"/>
      <family val="2"/>
    </font>
    <font>
      <b/>
      <sz val="9"/>
      <color theme="1"/>
      <name val="Century Gothic"/>
      <family val="2"/>
    </font>
    <font>
      <b/>
      <sz val="8"/>
      <color rgb="FF000000"/>
      <name val="Century Gothic"/>
      <family val="2"/>
    </font>
    <font>
      <b/>
      <sz val="8"/>
      <name val="Century Gothic"/>
      <family val="2"/>
    </font>
    <font>
      <sz val="9"/>
      <color theme="1"/>
      <name val="Arial"/>
      <family val="2"/>
    </font>
    <font>
      <b/>
      <sz val="9"/>
      <color theme="1"/>
      <name val="Arial"/>
      <family val="2"/>
    </font>
    <font>
      <sz val="10"/>
      <color theme="1"/>
      <name val="Arial"/>
      <family val="2"/>
    </font>
    <font>
      <sz val="10"/>
      <color rgb="FF000000"/>
      <name val="Arial"/>
      <family val="2"/>
    </font>
    <font>
      <sz val="11"/>
      <color rgb="FF000000"/>
      <name val="Arial"/>
      <family val="2"/>
    </font>
    <font>
      <sz val="8"/>
      <color rgb="FFFFFFFF"/>
      <name val="Arial"/>
      <family val="2"/>
    </font>
    <font>
      <sz val="9"/>
      <color rgb="FF000000"/>
      <name val="Century Gothic"/>
      <family val="2"/>
    </font>
    <font>
      <sz val="14"/>
      <color rgb="FF000000"/>
      <name val="Arial"/>
      <family val="2"/>
    </font>
    <font>
      <sz val="14"/>
      <color theme="1"/>
      <name val="Arial"/>
      <family val="2"/>
    </font>
    <font>
      <b/>
      <sz val="10"/>
      <color theme="1"/>
      <name val="Arial"/>
      <family val="2"/>
    </font>
    <font>
      <b/>
      <sz val="16"/>
      <color theme="1"/>
      <name val="Arial"/>
      <family val="2"/>
    </font>
    <font>
      <b/>
      <sz val="14"/>
      <color theme="1"/>
      <name val="Arial"/>
      <family val="2"/>
    </font>
    <font>
      <b/>
      <sz val="12"/>
      <color theme="1"/>
      <name val="Arial"/>
      <family val="2"/>
    </font>
    <font>
      <b/>
      <sz val="11"/>
      <name val="Arial"/>
      <family val="2"/>
    </font>
    <font>
      <b/>
      <sz val="11"/>
      <color theme="1"/>
      <name val="Arial"/>
      <family val="2"/>
    </font>
    <font>
      <b/>
      <sz val="10"/>
      <name val="Tahoma"/>
      <family val="2"/>
    </font>
    <font>
      <b/>
      <sz val="11"/>
      <name val="Tahoma"/>
      <family val="2"/>
    </font>
    <font>
      <b/>
      <sz val="16"/>
      <color rgb="FF000000"/>
      <name val="Arial"/>
      <family val="2"/>
    </font>
    <font>
      <sz val="16"/>
      <color rgb="FF000000"/>
      <name val="Arial"/>
      <family val="2"/>
    </font>
    <font>
      <sz val="12"/>
      <name val="Arial"/>
      <family val="2"/>
    </font>
    <font>
      <sz val="8"/>
      <color rgb="FFFF0000"/>
      <name val="Arial"/>
      <family val="2"/>
    </font>
    <font>
      <b/>
      <sz val="9"/>
      <color theme="1"/>
      <name val="Century Gothic"/>
      <family val="1"/>
    </font>
    <font>
      <sz val="9"/>
      <color rgb="FFFF0000"/>
      <name val="Arial"/>
      <family val="2"/>
    </font>
    <font>
      <b/>
      <sz val="8"/>
      <color rgb="FFFF0000"/>
      <name val="Arial"/>
      <family val="2"/>
    </font>
    <font>
      <b/>
      <sz val="11"/>
      <color rgb="FF000000"/>
      <name val="Tahoma"/>
      <family val="2"/>
    </font>
    <font>
      <sz val="11"/>
      <color rgb="FFFF0000"/>
      <name val="Tahoma"/>
      <family val="2"/>
    </font>
    <font>
      <sz val="11"/>
      <name val="Calibri"/>
      <family val="2"/>
      <scheme val="minor"/>
    </font>
    <font>
      <sz val="9"/>
      <color rgb="FF000000"/>
      <name val="Tahoma"/>
      <family val="2"/>
    </font>
    <font>
      <b/>
      <sz val="11"/>
      <name val="Calibri"/>
      <family val="2"/>
      <scheme val="minor"/>
    </font>
    <font>
      <b/>
      <sz val="11"/>
      <color rgb="FFFF0000"/>
      <name val="Tahoma"/>
      <family val="2"/>
    </font>
    <font>
      <b/>
      <sz val="14"/>
      <color rgb="FFFF0000"/>
      <name val="Calibri"/>
      <family val="2"/>
      <scheme val="minor"/>
    </font>
  </fonts>
  <fills count="78">
    <fill>
      <patternFill patternType="none"/>
    </fill>
    <fill>
      <patternFill patternType="gray125"/>
    </fill>
    <fill>
      <patternFill patternType="solid">
        <fgColor theme="4" tint="0.59999389629810485"/>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theme="8"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theme="9" tint="0.79998168889431442"/>
        <bgColor indexed="64"/>
      </patternFill>
    </fill>
    <fill>
      <patternFill patternType="solid">
        <fgColor theme="4" tint="-0.499984740745262"/>
        <bgColor rgb="FF073763"/>
      </patternFill>
    </fill>
    <fill>
      <patternFill patternType="solid">
        <fgColor rgb="FFD9D9D9"/>
        <bgColor rgb="FFFFFFFF"/>
      </patternFill>
    </fill>
    <fill>
      <patternFill patternType="solid">
        <fgColor rgb="FF00B050"/>
        <bgColor indexed="64"/>
      </patternFill>
    </fill>
    <fill>
      <patternFill patternType="solid">
        <fgColor rgb="FF00B050"/>
        <bgColor rgb="FF00B050"/>
      </patternFill>
    </fill>
    <fill>
      <patternFill patternType="solid">
        <fgColor rgb="FFFFFF00"/>
        <bgColor indexed="64"/>
      </patternFill>
    </fill>
    <fill>
      <patternFill patternType="solid">
        <fgColor theme="0"/>
        <bgColor rgb="FF00B050"/>
      </patternFill>
    </fill>
    <fill>
      <patternFill patternType="solid">
        <fgColor rgb="FFD0CECE"/>
        <bgColor rgb="FFD0CECE"/>
      </patternFill>
    </fill>
    <fill>
      <patternFill patternType="solid">
        <fgColor rgb="FFB4C6E7"/>
        <bgColor rgb="FFB4C6E7"/>
      </patternFill>
    </fill>
    <fill>
      <patternFill patternType="solid">
        <fgColor theme="4" tint="-0.499984740745262"/>
        <bgColor rgb="FFFF0000"/>
      </patternFill>
    </fill>
    <fill>
      <patternFill patternType="solid">
        <fgColor rgb="FFFFFF00"/>
        <bgColor rgb="FFFFFF00"/>
      </patternFill>
    </fill>
    <fill>
      <patternFill patternType="solid">
        <fgColor rgb="FFFF9933"/>
        <bgColor rgb="FFFF9933"/>
      </patternFill>
    </fill>
    <fill>
      <patternFill patternType="solid">
        <fgColor rgb="FF8496B0"/>
        <bgColor rgb="FF8496B0"/>
      </patternFill>
    </fill>
    <fill>
      <patternFill patternType="solid">
        <fgColor rgb="FFFFFFFF"/>
        <bgColor rgb="FFFFFFFF"/>
      </patternFill>
    </fill>
    <fill>
      <patternFill patternType="solid">
        <fgColor theme="0" tint="-4.9989318521683403E-2"/>
        <bgColor rgb="FF073763"/>
      </patternFill>
    </fill>
    <fill>
      <patternFill patternType="solid">
        <fgColor theme="0" tint="-4.9989318521683403E-2"/>
        <bgColor indexed="64"/>
      </patternFill>
    </fill>
    <fill>
      <patternFill patternType="solid">
        <fgColor theme="0" tint="-4.9989318521683403E-2"/>
        <bgColor theme="0"/>
      </patternFill>
    </fill>
    <fill>
      <patternFill patternType="solid">
        <fgColor theme="0"/>
        <bgColor rgb="FF073763"/>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0.14999847407452621"/>
        <bgColor rgb="FFD0CECE"/>
      </patternFill>
    </fill>
    <fill>
      <patternFill patternType="solid">
        <fgColor theme="4" tint="0.79998168889431442"/>
        <bgColor rgb="FFB4C6E7"/>
      </patternFill>
    </fill>
    <fill>
      <patternFill patternType="solid">
        <fgColor rgb="FFFFE598"/>
        <bgColor rgb="FFFFE598"/>
      </patternFill>
    </fill>
    <fill>
      <patternFill patternType="solid">
        <fgColor theme="0"/>
        <bgColor theme="0"/>
      </patternFill>
    </fill>
    <fill>
      <patternFill patternType="solid">
        <fgColor rgb="FF073763"/>
        <bgColor rgb="FF073763"/>
      </patternFill>
    </fill>
    <fill>
      <patternFill patternType="solid">
        <fgColor rgb="FF00B050"/>
        <bgColor rgb="FFFFFFFF"/>
      </patternFill>
    </fill>
    <fill>
      <patternFill patternType="solid">
        <fgColor theme="0"/>
        <bgColor rgb="FFFFFFFF"/>
      </patternFill>
    </fill>
    <fill>
      <patternFill patternType="solid">
        <fgColor rgb="FFFFFFFF"/>
        <bgColor rgb="FFB7B7B7"/>
      </patternFill>
    </fill>
    <fill>
      <patternFill patternType="solid">
        <fgColor rgb="FFFFFFFF"/>
        <bgColor rgb="FFCCCCCC"/>
      </patternFill>
    </fill>
    <fill>
      <patternFill patternType="solid">
        <fgColor rgb="FF002060"/>
        <bgColor indexed="64"/>
      </patternFill>
    </fill>
    <fill>
      <patternFill patternType="solid">
        <fgColor theme="0"/>
        <bgColor rgb="FFB7B7B7"/>
      </patternFill>
    </fill>
    <fill>
      <patternFill patternType="solid">
        <fgColor rgb="FFFFFF00"/>
        <bgColor rgb="FFFFFFFF"/>
      </patternFill>
    </fill>
    <fill>
      <patternFill patternType="solid">
        <fgColor theme="0"/>
        <bgColor rgb="FFCCCCCC"/>
      </patternFill>
    </fill>
    <fill>
      <patternFill patternType="solid">
        <fgColor rgb="FF002060"/>
        <bgColor rgb="FF000000"/>
      </patternFill>
    </fill>
    <fill>
      <patternFill patternType="solid">
        <fgColor rgb="FFFFFFFF"/>
        <bgColor rgb="FF000000"/>
      </patternFill>
    </fill>
    <fill>
      <patternFill patternType="solid">
        <fgColor rgb="FF9CC2E5"/>
        <bgColor rgb="FF9CC2E5"/>
      </patternFill>
    </fill>
    <fill>
      <patternFill patternType="solid">
        <fgColor rgb="FFD6DCE4"/>
        <bgColor rgb="FFD6DCE4"/>
      </patternFill>
    </fill>
    <fill>
      <patternFill patternType="solid">
        <fgColor rgb="FFBDD6EE"/>
        <bgColor rgb="FFBDD6EE"/>
      </patternFill>
    </fill>
    <fill>
      <patternFill patternType="solid">
        <fgColor rgb="FFDEEAF6"/>
        <bgColor rgb="FFDEEAF6"/>
      </patternFill>
    </fill>
    <fill>
      <patternFill patternType="solid">
        <fgColor rgb="FF92D050"/>
        <bgColor indexed="64"/>
      </patternFill>
    </fill>
    <fill>
      <patternFill patternType="solid">
        <fgColor theme="7" tint="0.79998168889431442"/>
        <bgColor indexed="64"/>
      </patternFill>
    </fill>
    <fill>
      <patternFill patternType="solid">
        <fgColor rgb="FFA8D08D"/>
        <bgColor rgb="FFA8D08D"/>
      </patternFill>
    </fill>
    <fill>
      <patternFill patternType="solid">
        <fgColor rgb="FFC5E0B3"/>
        <bgColor rgb="FFC5E0B3"/>
      </patternFill>
    </fill>
    <fill>
      <patternFill patternType="solid">
        <fgColor rgb="FFE2EFD9"/>
        <bgColor rgb="FFE2EFD9"/>
      </patternFill>
    </fill>
    <fill>
      <patternFill patternType="solid">
        <fgColor theme="9" tint="0.59999389629810485"/>
        <bgColor indexed="64"/>
      </patternFill>
    </fill>
    <fill>
      <patternFill patternType="solid">
        <fgColor rgb="FFF4B083"/>
        <bgColor rgb="FFF4B083"/>
      </patternFill>
    </fill>
    <fill>
      <patternFill patternType="solid">
        <fgColor rgb="FFF7CAAC"/>
        <bgColor rgb="FFF7CAAC"/>
      </patternFill>
    </fill>
    <fill>
      <patternFill patternType="solid">
        <fgColor rgb="FFFBE4D5"/>
        <bgColor rgb="FFFBE4D5"/>
      </patternFill>
    </fill>
    <fill>
      <patternFill patternType="solid">
        <fgColor rgb="FFFFD965"/>
        <bgColor rgb="FFFFD965"/>
      </patternFill>
    </fill>
    <fill>
      <patternFill patternType="solid">
        <fgColor rgb="FFFEF2CB"/>
        <bgColor rgb="FFFEF2CB"/>
      </patternFill>
    </fill>
    <fill>
      <patternFill patternType="solid">
        <fgColor rgb="FFBFBFBF"/>
        <bgColor rgb="FFBFBFBF"/>
      </patternFill>
    </fill>
    <fill>
      <patternFill patternType="solid">
        <fgColor theme="4" tint="0.39997558519241921"/>
        <bgColor rgb="FF000000"/>
      </patternFill>
    </fill>
    <fill>
      <patternFill patternType="solid">
        <fgColor theme="2"/>
        <bgColor indexed="64"/>
      </patternFill>
    </fill>
    <fill>
      <patternFill patternType="solid">
        <fgColor theme="5" tint="0.79998168889431442"/>
        <bgColor indexed="64"/>
      </patternFill>
    </fill>
    <fill>
      <patternFill patternType="solid">
        <fgColor rgb="FF00B0F0"/>
        <bgColor rgb="FFCCCCCC"/>
      </patternFill>
    </fill>
    <fill>
      <patternFill patternType="solid">
        <fgColor theme="4" tint="0.79998168889431442"/>
        <bgColor rgb="FF000000"/>
      </patternFill>
    </fill>
    <fill>
      <patternFill patternType="solid">
        <fgColor rgb="FFFF0000"/>
        <bgColor theme="0"/>
      </patternFill>
    </fill>
    <fill>
      <patternFill patternType="solid">
        <fgColor theme="0"/>
        <bgColor rgb="FF000000"/>
      </patternFill>
    </fill>
    <fill>
      <patternFill patternType="solid">
        <fgColor theme="0" tint="-0.14999847407452621"/>
        <bgColor rgb="FF000000"/>
      </patternFill>
    </fill>
    <fill>
      <patternFill patternType="solid">
        <fgColor theme="9"/>
        <bgColor indexed="64"/>
      </patternFill>
    </fill>
    <fill>
      <patternFill patternType="solid">
        <fgColor theme="9"/>
        <bgColor rgb="FF000000"/>
      </patternFill>
    </fill>
    <fill>
      <patternFill patternType="solid">
        <fgColor rgb="FFA9D08E"/>
        <bgColor rgb="FF000000"/>
      </patternFill>
    </fill>
    <fill>
      <patternFill patternType="solid">
        <fgColor theme="9" tint="0.39997558519241921"/>
        <bgColor indexed="64"/>
      </patternFill>
    </fill>
    <fill>
      <patternFill patternType="solid">
        <fgColor theme="9" tint="0.39997558519241921"/>
        <bgColor rgb="FF000000"/>
      </patternFill>
    </fill>
    <fill>
      <patternFill patternType="solid">
        <fgColor rgb="FF00B050"/>
        <bgColor rgb="FF000000"/>
      </patternFill>
    </fill>
    <fill>
      <patternFill patternType="solid">
        <fgColor rgb="FFFFFF00"/>
        <bgColor rgb="FF000000"/>
      </patternFill>
    </fill>
    <fill>
      <patternFill patternType="solid">
        <fgColor rgb="FFFF0000"/>
        <bgColor rgb="FF000000"/>
      </patternFill>
    </fill>
  </fills>
  <borders count="161">
    <border>
      <left/>
      <right/>
      <top/>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rgb="FF000000"/>
      </left>
      <right style="thin">
        <color rgb="FF000000"/>
      </right>
      <top/>
      <bottom style="thin">
        <color rgb="FF000000"/>
      </bottom>
      <diagonal/>
    </border>
    <border>
      <left style="thin">
        <color indexed="64"/>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rgb="FF000000"/>
      </right>
      <top style="thin">
        <color rgb="FF000000"/>
      </top>
      <bottom/>
      <diagonal/>
    </border>
    <border>
      <left style="thin">
        <color rgb="FF000000"/>
      </left>
      <right style="thin">
        <color rgb="FF000000"/>
      </right>
      <top style="thin">
        <color rgb="FF000000"/>
      </top>
      <bottom/>
      <diagonal/>
    </border>
    <border>
      <left style="thin">
        <color indexed="64"/>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000000"/>
      </left>
      <right/>
      <top/>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bottom style="thin">
        <color rgb="FF000000"/>
      </bottom>
      <diagonal/>
    </border>
    <border>
      <left style="medium">
        <color rgb="FF000000"/>
      </left>
      <right/>
      <top style="thin">
        <color rgb="FF000000"/>
      </top>
      <bottom/>
      <diagonal/>
    </border>
    <border>
      <left/>
      <right style="thin">
        <color rgb="FF000000"/>
      </right>
      <top style="thin">
        <color rgb="FF000000"/>
      </top>
      <bottom/>
      <diagonal/>
    </border>
    <border>
      <left/>
      <right/>
      <top style="thin">
        <color indexed="64"/>
      </top>
      <bottom/>
      <diagonal/>
    </border>
    <border>
      <left/>
      <right style="medium">
        <color rgb="FF000000"/>
      </right>
      <top/>
      <bottom/>
      <diagonal/>
    </border>
    <border>
      <left/>
      <right/>
      <top/>
      <bottom style="medium">
        <color rgb="FF000000"/>
      </bottom>
      <diagonal/>
    </border>
    <border>
      <left/>
      <right style="medium">
        <color rgb="FF000000"/>
      </right>
      <top/>
      <bottom style="medium">
        <color rgb="FF000000"/>
      </bottom>
      <diagonal/>
    </border>
    <border>
      <left/>
      <right style="thin">
        <color rgb="FF000000"/>
      </right>
      <top style="medium">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bottom/>
      <diagonal/>
    </border>
    <border>
      <left/>
      <right style="thin">
        <color rgb="FF000000"/>
      </right>
      <top style="medium">
        <color rgb="FF000000"/>
      </top>
      <bottom/>
      <diagonal/>
    </border>
    <border>
      <left style="thin">
        <color rgb="FF000000"/>
      </left>
      <right/>
      <top style="medium">
        <color rgb="FF000000"/>
      </top>
      <bottom/>
      <diagonal/>
    </border>
    <border>
      <left/>
      <right style="thin">
        <color rgb="FF000000"/>
      </right>
      <top/>
      <bottom/>
      <diagonal/>
    </border>
    <border>
      <left/>
      <right style="thin">
        <color rgb="FF000000"/>
      </right>
      <top/>
      <bottom style="medium">
        <color rgb="FF000000"/>
      </bottom>
      <diagonal/>
    </border>
    <border>
      <left/>
      <right style="medium">
        <color rgb="FF000000"/>
      </right>
      <top style="medium">
        <color rgb="FF000000"/>
      </top>
      <bottom/>
      <diagonal/>
    </border>
    <border>
      <left style="medium">
        <color rgb="FF000000"/>
      </left>
      <right/>
      <top/>
      <bottom style="medium">
        <color rgb="FF000000"/>
      </bottom>
      <diagonal/>
    </border>
    <border>
      <left/>
      <right style="medium">
        <color rgb="FF000000"/>
      </right>
      <top style="medium">
        <color rgb="FF000000"/>
      </top>
      <bottom style="medium">
        <color rgb="FF000000"/>
      </bottom>
      <diagonal/>
    </border>
    <border>
      <left/>
      <right style="medium">
        <color rgb="FF000000"/>
      </right>
      <top/>
      <bottom style="thin">
        <color rgb="FF000000"/>
      </bottom>
      <diagonal/>
    </border>
    <border>
      <left/>
      <right style="medium">
        <color rgb="FF000000"/>
      </right>
      <top style="thin">
        <color rgb="FF000000"/>
      </top>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thin">
        <color indexed="64"/>
      </right>
      <top/>
      <bottom style="thin">
        <color rgb="FF000000"/>
      </bottom>
      <diagonal/>
    </border>
    <border>
      <left style="thin">
        <color rgb="FF000000"/>
      </left>
      <right/>
      <top/>
      <bottom style="medium">
        <color rgb="FF000000"/>
      </bottom>
      <diagonal/>
    </border>
    <border>
      <left style="thin">
        <color indexed="64"/>
      </left>
      <right/>
      <top/>
      <bottom style="medium">
        <color rgb="FF000000"/>
      </bottom>
      <diagonal/>
    </border>
    <border>
      <left/>
      <right style="thin">
        <color indexed="64"/>
      </right>
      <top/>
      <bottom style="medium">
        <color rgb="FF000000"/>
      </bottom>
      <diagonal/>
    </border>
    <border>
      <left style="medium">
        <color rgb="FF000000"/>
      </left>
      <right/>
      <top style="medium">
        <color rgb="FF000000"/>
      </top>
      <bottom style="thin">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thin">
        <color rgb="FF000000"/>
      </left>
      <right style="thin">
        <color indexed="64"/>
      </right>
      <top style="thin">
        <color rgb="FF000000"/>
      </top>
      <bottom/>
      <diagonal/>
    </border>
    <border>
      <left style="thin">
        <color indexed="64"/>
      </left>
      <right style="thin">
        <color indexed="64"/>
      </right>
      <top style="thin">
        <color rgb="FF000000"/>
      </top>
      <bottom/>
      <diagonal/>
    </border>
    <border>
      <left style="thin">
        <color rgb="FF000000"/>
      </left>
      <right style="thin">
        <color indexed="64"/>
      </right>
      <top/>
      <bottom style="thin">
        <color indexed="64"/>
      </bottom>
      <diagonal/>
    </border>
    <border>
      <left style="thin">
        <color rgb="FF000000"/>
      </left>
      <right style="thin">
        <color indexed="64"/>
      </right>
      <top/>
      <bottom style="thin">
        <color rgb="FF000000"/>
      </bottom>
      <diagonal/>
    </border>
    <border>
      <left style="thin">
        <color rgb="FF000000"/>
      </left>
      <right style="thin">
        <color indexed="64"/>
      </right>
      <top style="thin">
        <color indexed="64"/>
      </top>
      <bottom/>
      <diagonal/>
    </border>
    <border>
      <left style="thin">
        <color indexed="64"/>
      </left>
      <right style="thin">
        <color indexed="64"/>
      </right>
      <top/>
      <bottom style="thin">
        <color rgb="FF000000"/>
      </bottom>
      <diagonal/>
    </border>
    <border>
      <left/>
      <right style="medium">
        <color rgb="FF000000"/>
      </right>
      <top style="medium">
        <color indexed="64"/>
      </top>
      <bottom style="medium">
        <color indexed="64"/>
      </bottom>
      <diagonal/>
    </border>
    <border>
      <left/>
      <right style="medium">
        <color rgb="FF000000"/>
      </right>
      <top/>
      <bottom style="medium">
        <color indexed="64"/>
      </bottom>
      <diagonal/>
    </border>
    <border>
      <left style="medium">
        <color rgb="FF000000"/>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indexed="64"/>
      </bottom>
      <diagonal/>
    </border>
    <border>
      <left/>
      <right style="thin">
        <color rgb="FF000000"/>
      </right>
      <top style="medium">
        <color indexed="64"/>
      </top>
      <bottom/>
      <diagonal/>
    </border>
    <border>
      <left style="thin">
        <color rgb="FF000000"/>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rgb="FF000000"/>
      </right>
      <top/>
      <bottom style="medium">
        <color indexed="64"/>
      </bottom>
      <diagonal/>
    </border>
    <border>
      <left style="thin">
        <color rgb="FF000000"/>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style="thin">
        <color rgb="FF000000"/>
      </left>
      <right style="thin">
        <color rgb="FF000000"/>
      </right>
      <top style="medium">
        <color indexed="64"/>
      </top>
      <bottom/>
      <diagonal/>
    </border>
    <border>
      <left style="thin">
        <color rgb="FF000000"/>
      </left>
      <right style="thin">
        <color indexed="64"/>
      </right>
      <top style="medium">
        <color indexed="64"/>
      </top>
      <bottom/>
      <diagonal/>
    </border>
    <border>
      <left style="thin">
        <color rgb="FF000000"/>
      </left>
      <right style="thin">
        <color rgb="FF000000"/>
      </right>
      <top/>
      <bottom style="medium">
        <color indexed="64"/>
      </bottom>
      <diagonal/>
    </border>
    <border>
      <left style="thin">
        <color rgb="FF000000"/>
      </left>
      <right style="thin">
        <color indexed="64"/>
      </right>
      <top/>
      <bottom style="medium">
        <color indexed="64"/>
      </bottom>
      <diagonal/>
    </border>
    <border>
      <left style="thin">
        <color rgb="FF000000"/>
      </left>
      <right style="thin">
        <color indexed="64"/>
      </right>
      <top/>
      <bottom/>
      <diagonal/>
    </border>
    <border>
      <left style="thin">
        <color rgb="FF000000"/>
      </left>
      <right/>
      <top style="thin">
        <color rgb="FF000000"/>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rgb="FF000000"/>
      </left>
      <right style="medium">
        <color indexed="64"/>
      </right>
      <top style="medium">
        <color rgb="FF000000"/>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style="medium">
        <color indexed="64"/>
      </left>
      <right style="thin">
        <color indexed="64"/>
      </right>
      <top style="thin">
        <color indexed="64"/>
      </top>
      <bottom/>
      <diagonal/>
    </border>
    <border>
      <left/>
      <right style="medium">
        <color indexed="64"/>
      </right>
      <top style="thin">
        <color indexed="64"/>
      </top>
      <bottom style="medium">
        <color indexed="64"/>
      </bottom>
      <diagonal/>
    </border>
    <border>
      <left style="hair">
        <color rgb="FF000000"/>
      </left>
      <right/>
      <top style="thin">
        <color rgb="FF000000"/>
      </top>
      <bottom style="hair">
        <color rgb="FF000000"/>
      </bottom>
      <diagonal/>
    </border>
    <border>
      <left/>
      <right/>
      <top style="thin">
        <color rgb="FF000000"/>
      </top>
      <bottom style="hair">
        <color rgb="FF000000"/>
      </bottom>
      <diagonal/>
    </border>
    <border>
      <left/>
      <right style="hair">
        <color rgb="FF000000"/>
      </right>
      <top style="thin">
        <color rgb="FF000000"/>
      </top>
      <bottom style="hair">
        <color rgb="FF000000"/>
      </bottom>
      <diagonal/>
    </border>
    <border>
      <left/>
      <right style="thin">
        <color rgb="FF000000"/>
      </right>
      <top style="thin">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right style="thin">
        <color rgb="FF000000"/>
      </right>
      <top style="hair">
        <color rgb="FF000000"/>
      </top>
      <bottom style="hair">
        <color rgb="FF000000"/>
      </bottom>
      <diagonal/>
    </border>
    <border>
      <left/>
      <right/>
      <top style="hair">
        <color rgb="FF000000"/>
      </top>
      <bottom style="thin">
        <color rgb="FF000000"/>
      </bottom>
      <diagonal/>
    </border>
    <border>
      <left/>
      <right style="hair">
        <color rgb="FF000000"/>
      </right>
      <top style="hair">
        <color rgb="FF000000"/>
      </top>
      <bottom style="thin">
        <color rgb="FF000000"/>
      </bottom>
      <diagonal/>
    </border>
    <border>
      <left style="hair">
        <color rgb="FF000000"/>
      </left>
      <right/>
      <top style="hair">
        <color rgb="FF000000"/>
      </top>
      <bottom style="thin">
        <color rgb="FF000000"/>
      </bottom>
      <diagonal/>
    </border>
    <border>
      <left/>
      <right style="thin">
        <color rgb="FF000000"/>
      </right>
      <top style="hair">
        <color rgb="FF000000"/>
      </top>
      <bottom style="thin">
        <color rgb="FF000000"/>
      </bottom>
      <diagonal/>
    </border>
    <border>
      <left style="medium">
        <color indexed="64"/>
      </left>
      <right/>
      <top style="thin">
        <color rgb="FF000000"/>
      </top>
      <bottom style="thin">
        <color rgb="FF000000"/>
      </bottom>
      <diagonal/>
    </border>
    <border>
      <left style="medium">
        <color theme="0"/>
      </left>
      <right style="medium">
        <color theme="0"/>
      </right>
      <top/>
      <bottom/>
      <diagonal/>
    </border>
    <border>
      <left style="medium">
        <color theme="0"/>
      </left>
      <right/>
      <top/>
      <bottom/>
      <diagonal/>
    </border>
    <border>
      <left style="medium">
        <color indexed="64"/>
      </left>
      <right style="thin">
        <color rgb="FF000000"/>
      </right>
      <top style="medium">
        <color indexed="64"/>
      </top>
      <bottom/>
      <diagonal/>
    </border>
    <border>
      <left style="medium">
        <color indexed="64"/>
      </left>
      <right style="thin">
        <color rgb="FF000000"/>
      </right>
      <top/>
      <bottom style="thin">
        <color rgb="FF000000"/>
      </bottom>
      <diagonal/>
    </border>
    <border>
      <left/>
      <right style="medium">
        <color indexed="64"/>
      </right>
      <top/>
      <bottom style="thin">
        <color rgb="FF000000"/>
      </bottom>
      <diagonal/>
    </border>
    <border>
      <left style="thin">
        <color rgb="FF000000"/>
      </left>
      <right style="medium">
        <color indexed="64"/>
      </right>
      <top/>
      <bottom style="thin">
        <color rgb="FF000000"/>
      </bottom>
      <diagonal/>
    </border>
    <border>
      <left style="medium">
        <color indexed="64"/>
      </left>
      <right/>
      <top/>
      <bottom style="thin">
        <color rgb="FF000000"/>
      </bottom>
      <diagonal/>
    </border>
    <border>
      <left style="medium">
        <color indexed="64"/>
      </left>
      <right style="thin">
        <color rgb="FF000000"/>
      </right>
      <top/>
      <bottom style="medium">
        <color indexed="64"/>
      </bottom>
      <diagonal/>
    </border>
    <border>
      <left style="thin">
        <color indexed="64"/>
      </left>
      <right style="medium">
        <color indexed="64"/>
      </right>
      <top/>
      <bottom style="medium">
        <color indexed="64"/>
      </bottom>
      <diagonal/>
    </border>
    <border>
      <left/>
      <right style="medium">
        <color theme="0"/>
      </right>
      <top/>
      <bottom/>
      <diagonal/>
    </border>
  </borders>
  <cellStyleXfs count="25">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0" borderId="0"/>
    <xf numFmtId="0" fontId="17" fillId="0" borderId="0"/>
    <xf numFmtId="42"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cellStyleXfs>
  <cellXfs count="1586">
    <xf numFmtId="0" fontId="0" fillId="0" borderId="0" xfId="0"/>
    <xf numFmtId="0" fontId="5" fillId="0" borderId="0" xfId="0" applyFont="1" applyAlignment="1" applyProtection="1">
      <alignment vertical="center"/>
      <protection locked="0"/>
    </xf>
    <xf numFmtId="0" fontId="5" fillId="0" borderId="0" xfId="0" applyFont="1" applyAlignment="1" applyProtection="1">
      <alignment horizontal="center" vertical="center" wrapText="1"/>
      <protection locked="0"/>
    </xf>
    <xf numFmtId="0" fontId="5" fillId="0" borderId="0" xfId="0" applyFont="1" applyAlignment="1" applyProtection="1">
      <alignment horizontal="center" vertical="center"/>
      <protection locked="0"/>
    </xf>
    <xf numFmtId="0" fontId="5" fillId="8" borderId="0" xfId="0" applyFont="1" applyFill="1" applyAlignment="1" applyProtection="1">
      <alignment horizontal="center" vertical="center" wrapText="1"/>
      <protection locked="0"/>
    </xf>
    <xf numFmtId="0" fontId="5" fillId="8" borderId="0" xfId="0" applyFont="1" applyFill="1" applyAlignment="1" applyProtection="1">
      <alignment vertical="center"/>
      <protection locked="0"/>
    </xf>
    <xf numFmtId="0" fontId="14" fillId="5" borderId="4" xfId="0" applyFont="1" applyFill="1" applyBorder="1"/>
    <xf numFmtId="0" fontId="14" fillId="5" borderId="4" xfId="0" applyFont="1" applyFill="1" applyBorder="1" applyAlignment="1">
      <alignment horizontal="center" vertical="center"/>
    </xf>
    <xf numFmtId="0" fontId="0" fillId="0" borderId="4" xfId="0" applyBorder="1"/>
    <xf numFmtId="0" fontId="14" fillId="5" borderId="7" xfId="0" applyFont="1" applyFill="1" applyBorder="1" applyAlignment="1">
      <alignment horizontal="center"/>
    </xf>
    <xf numFmtId="0" fontId="14" fillId="5" borderId="7" xfId="0" applyFont="1" applyFill="1" applyBorder="1" applyAlignment="1">
      <alignment horizontal="center" vertical="center"/>
    </xf>
    <xf numFmtId="0" fontId="15" fillId="0" borderId="4" xfId="0" applyFont="1" applyBorder="1" applyAlignment="1">
      <alignment horizontal="justify" vertical="center" wrapText="1" readingOrder="1"/>
    </xf>
    <xf numFmtId="0" fontId="16" fillId="0" borderId="4" xfId="0" applyFont="1" applyBorder="1" applyAlignment="1">
      <alignment horizontal="justify" vertical="center" wrapText="1" readingOrder="1"/>
    </xf>
    <xf numFmtId="0" fontId="14" fillId="5" borderId="4" xfId="0" applyFont="1" applyFill="1" applyBorder="1" applyAlignment="1">
      <alignment horizontal="center"/>
    </xf>
    <xf numFmtId="9" fontId="5" fillId="0" borderId="4" xfId="0" applyNumberFormat="1" applyFont="1" applyBorder="1" applyAlignment="1" applyProtection="1">
      <alignment vertical="center"/>
      <protection locked="0"/>
    </xf>
    <xf numFmtId="0" fontId="5" fillId="0" borderId="4" xfId="0" applyFont="1" applyBorder="1" applyAlignment="1" applyProtection="1">
      <alignment vertical="center"/>
      <protection locked="0"/>
    </xf>
    <xf numFmtId="9" fontId="5" fillId="0" borderId="4" xfId="0" applyNumberFormat="1" applyFont="1" applyBorder="1" applyAlignment="1">
      <alignment vertical="center"/>
    </xf>
    <xf numFmtId="0" fontId="5" fillId="0" borderId="4" xfId="0" applyFont="1" applyBorder="1" applyAlignment="1">
      <alignment vertical="center"/>
    </xf>
    <xf numFmtId="0" fontId="5" fillId="0" borderId="4" xfId="0" applyFont="1" applyBorder="1" applyAlignment="1" applyProtection="1">
      <alignment horizontal="center" vertical="center"/>
      <protection locked="0"/>
    </xf>
    <xf numFmtId="0" fontId="5" fillId="0" borderId="4" xfId="0" applyFont="1" applyBorder="1" applyAlignment="1">
      <alignment horizontal="center" vertical="center"/>
    </xf>
    <xf numFmtId="9" fontId="8" fillId="0" borderId="4" xfId="0" applyNumberFormat="1" applyFont="1" applyBorder="1" applyAlignment="1" applyProtection="1">
      <alignment horizontal="center" vertical="center" wrapText="1"/>
      <protection locked="0"/>
    </xf>
    <xf numFmtId="0" fontId="3" fillId="0" borderId="1" xfId="3" applyFont="1" applyBorder="1" applyAlignment="1">
      <alignment horizontal="center" vertical="center" wrapText="1"/>
    </xf>
    <xf numFmtId="0" fontId="14" fillId="0" borderId="23" xfId="0" applyFont="1" applyBorder="1" applyAlignment="1">
      <alignment horizontal="center"/>
    </xf>
    <xf numFmtId="0" fontId="14" fillId="0" borderId="24" xfId="0" applyFont="1" applyBorder="1" applyAlignment="1">
      <alignment horizontal="center"/>
    </xf>
    <xf numFmtId="0" fontId="14" fillId="0" borderId="24" xfId="0" applyFont="1" applyBorder="1" applyAlignment="1">
      <alignment horizontal="center" wrapText="1"/>
    </xf>
    <xf numFmtId="0" fontId="14" fillId="0" borderId="25" xfId="0" applyFont="1" applyBorder="1" applyAlignment="1">
      <alignment horizontal="center"/>
    </xf>
    <xf numFmtId="0" fontId="14" fillId="0" borderId="26" xfId="0" applyFont="1" applyBorder="1" applyAlignment="1">
      <alignment horizontal="center" vertical="center" wrapText="1"/>
    </xf>
    <xf numFmtId="0" fontId="19" fillId="0" borderId="27" xfId="0" applyFont="1" applyBorder="1" applyAlignment="1">
      <alignment vertical="center" wrapText="1"/>
    </xf>
    <xf numFmtId="0" fontId="19" fillId="0" borderId="30" xfId="0" applyFont="1" applyBorder="1" applyAlignment="1">
      <alignment vertical="center" wrapText="1"/>
    </xf>
    <xf numFmtId="0" fontId="21" fillId="0" borderId="30" xfId="0" applyFont="1" applyBorder="1" applyAlignment="1">
      <alignment horizontal="justify" vertical="center"/>
    </xf>
    <xf numFmtId="0" fontId="0" fillId="0" borderId="0" xfId="0" applyAlignment="1">
      <alignment vertical="center" wrapText="1"/>
    </xf>
    <xf numFmtId="0" fontId="19" fillId="0" borderId="32" xfId="0" applyFont="1" applyBorder="1" applyAlignment="1">
      <alignment vertical="center" wrapText="1"/>
    </xf>
    <xf numFmtId="0" fontId="19" fillId="7" borderId="32" xfId="0" applyFont="1" applyFill="1" applyBorder="1" applyAlignment="1">
      <alignment vertical="center" wrapText="1"/>
    </xf>
    <xf numFmtId="0" fontId="19" fillId="7" borderId="30" xfId="0" applyFont="1" applyFill="1" applyBorder="1" applyAlignment="1">
      <alignment vertical="center" wrapText="1"/>
    </xf>
    <xf numFmtId="0" fontId="19" fillId="7" borderId="34" xfId="0" applyFont="1" applyFill="1" applyBorder="1" applyAlignment="1">
      <alignment vertical="center" wrapText="1"/>
    </xf>
    <xf numFmtId="0" fontId="19" fillId="7" borderId="37" xfId="0" applyFont="1" applyFill="1" applyBorder="1" applyAlignment="1">
      <alignment vertical="center" wrapText="1"/>
    </xf>
    <xf numFmtId="0" fontId="0" fillId="0" borderId="35" xfId="0" applyBorder="1" applyAlignment="1">
      <alignment vertical="center" wrapText="1"/>
    </xf>
    <xf numFmtId="0" fontId="0" fillId="0" borderId="22" xfId="0" applyBorder="1" applyAlignment="1">
      <alignment vertical="center" wrapText="1"/>
    </xf>
    <xf numFmtId="0" fontId="0" fillId="0" borderId="38" xfId="0" applyBorder="1" applyAlignment="1">
      <alignment vertical="center" wrapText="1"/>
    </xf>
    <xf numFmtId="0" fontId="19" fillId="0" borderId="23" xfId="0" applyFont="1" applyBorder="1" applyAlignment="1">
      <alignment vertical="center" wrapText="1"/>
    </xf>
    <xf numFmtId="0" fontId="0" fillId="0" borderId="24" xfId="0" applyBorder="1" applyAlignment="1">
      <alignment vertical="center" wrapText="1"/>
    </xf>
    <xf numFmtId="0" fontId="19" fillId="7" borderId="23" xfId="0" applyFont="1" applyFill="1" applyBorder="1" applyAlignment="1">
      <alignment vertical="center" wrapText="1"/>
    </xf>
    <xf numFmtId="0" fontId="0" fillId="0" borderId="24" xfId="0" applyBorder="1" applyAlignment="1">
      <alignment vertical="center"/>
    </xf>
    <xf numFmtId="0" fontId="19" fillId="0" borderId="0" xfId="0" applyFont="1" applyAlignment="1">
      <alignment vertical="center"/>
    </xf>
    <xf numFmtId="0" fontId="0" fillId="0" borderId="0" xfId="0" applyAlignment="1">
      <alignment wrapText="1"/>
    </xf>
    <xf numFmtId="0" fontId="19" fillId="0" borderId="0" xfId="0" applyFont="1" applyAlignment="1">
      <alignment vertical="center" wrapText="1"/>
    </xf>
    <xf numFmtId="0" fontId="0" fillId="10" borderId="31" xfId="0" applyFill="1" applyBorder="1" applyAlignment="1">
      <alignment vertical="center"/>
    </xf>
    <xf numFmtId="0" fontId="0" fillId="10" borderId="24" xfId="0" applyFill="1" applyBorder="1" applyAlignment="1">
      <alignment wrapText="1"/>
    </xf>
    <xf numFmtId="0" fontId="0" fillId="10" borderId="24" xfId="0" applyFill="1" applyBorder="1" applyAlignment="1">
      <alignment vertical="center" wrapText="1"/>
    </xf>
    <xf numFmtId="0" fontId="24" fillId="14" borderId="42" xfId="0" applyFont="1" applyFill="1" applyBorder="1" applyAlignment="1">
      <alignment horizontal="left" vertical="center" wrapText="1"/>
    </xf>
    <xf numFmtId="0" fontId="24" fillId="15" borderId="42" xfId="0" applyFont="1" applyFill="1" applyBorder="1" applyAlignment="1">
      <alignment horizontal="center" vertical="center"/>
    </xf>
    <xf numFmtId="0" fontId="24" fillId="0" borderId="42" xfId="0" applyFont="1" applyBorder="1" applyAlignment="1">
      <alignment horizontal="center" vertical="center"/>
    </xf>
    <xf numFmtId="0" fontId="24" fillId="16" borderId="13" xfId="0" applyFont="1" applyFill="1" applyBorder="1" applyAlignment="1">
      <alignment horizontal="left" vertical="center" wrapText="1"/>
    </xf>
    <xf numFmtId="0" fontId="24" fillId="0" borderId="13" xfId="0" applyFont="1" applyBorder="1" applyAlignment="1">
      <alignment horizontal="center" vertical="center"/>
    </xf>
    <xf numFmtId="0" fontId="24" fillId="0" borderId="13" xfId="0" applyFont="1" applyBorder="1"/>
    <xf numFmtId="0" fontId="24" fillId="14" borderId="13" xfId="0" applyFont="1" applyFill="1" applyBorder="1" applyAlignment="1">
      <alignment horizontal="left" vertical="center" wrapText="1"/>
    </xf>
    <xf numFmtId="0" fontId="24" fillId="15" borderId="13" xfId="0" applyFont="1" applyFill="1" applyBorder="1" applyAlignment="1">
      <alignment horizontal="center" vertical="center"/>
    </xf>
    <xf numFmtId="0" fontId="24" fillId="17" borderId="13" xfId="0" applyFont="1" applyFill="1" applyBorder="1" applyAlignment="1">
      <alignment horizontal="center" vertical="center"/>
    </xf>
    <xf numFmtId="0" fontId="24" fillId="17" borderId="13" xfId="0" applyFont="1" applyFill="1" applyBorder="1" applyAlignment="1">
      <alignment horizontal="center" vertical="center" wrapText="1"/>
    </xf>
    <xf numFmtId="0" fontId="24" fillId="18" borderId="13" xfId="0" applyFont="1" applyFill="1" applyBorder="1" applyAlignment="1">
      <alignment horizontal="center" vertical="center" wrapText="1"/>
    </xf>
    <xf numFmtId="9" fontId="25" fillId="19" borderId="13" xfId="0" applyNumberFormat="1" applyFont="1" applyFill="1" applyBorder="1" applyAlignment="1">
      <alignment horizontal="center" vertical="center" wrapText="1"/>
    </xf>
    <xf numFmtId="9" fontId="23" fillId="20" borderId="13" xfId="0" applyNumberFormat="1" applyFont="1" applyFill="1" applyBorder="1" applyAlignment="1">
      <alignment horizontal="center" vertical="center" wrapText="1"/>
    </xf>
    <xf numFmtId="0" fontId="26" fillId="0" borderId="4" xfId="0" applyFont="1" applyBorder="1" applyAlignment="1">
      <alignment vertical="center"/>
    </xf>
    <xf numFmtId="0" fontId="23" fillId="20" borderId="0" xfId="0" applyFont="1" applyFill="1" applyAlignment="1">
      <alignment horizontal="center" vertical="center" wrapText="1"/>
    </xf>
    <xf numFmtId="0" fontId="26" fillId="0" borderId="4" xfId="0" applyFont="1" applyBorder="1" applyAlignment="1">
      <alignment vertical="center" wrapText="1"/>
    </xf>
    <xf numFmtId="0" fontId="24" fillId="0" borderId="0" xfId="0" applyFont="1"/>
    <xf numFmtId="0" fontId="24" fillId="0" borderId="0" xfId="0" applyFont="1" applyAlignment="1">
      <alignment vertical="center"/>
    </xf>
    <xf numFmtId="0" fontId="27" fillId="0" borderId="0" xfId="0" applyFont="1"/>
    <xf numFmtId="0" fontId="25" fillId="0" borderId="0" xfId="0" applyFont="1" applyAlignment="1">
      <alignment horizontal="center" vertical="center"/>
    </xf>
    <xf numFmtId="0" fontId="24" fillId="21" borderId="13" xfId="0" applyFont="1" applyFill="1" applyBorder="1" applyAlignment="1">
      <alignment horizontal="center"/>
    </xf>
    <xf numFmtId="0" fontId="24" fillId="22" borderId="13" xfId="0" applyFont="1" applyFill="1" applyBorder="1" applyAlignment="1">
      <alignment horizontal="center"/>
    </xf>
    <xf numFmtId="0" fontId="24" fillId="0" borderId="13" xfId="0" applyFont="1" applyBorder="1" applyAlignment="1">
      <alignment horizontal="center"/>
    </xf>
    <xf numFmtId="0" fontId="24" fillId="0" borderId="57" xfId="0" applyFont="1" applyBorder="1"/>
    <xf numFmtId="0" fontId="24" fillId="0" borderId="0" xfId="0" applyFont="1" applyAlignment="1">
      <alignment vertical="center" wrapText="1"/>
    </xf>
    <xf numFmtId="0" fontId="24" fillId="24" borderId="0" xfId="0" applyFont="1" applyFill="1" applyAlignment="1">
      <alignment vertical="top" wrapText="1"/>
    </xf>
    <xf numFmtId="0" fontId="24" fillId="24" borderId="0" xfId="0" applyFont="1" applyFill="1"/>
    <xf numFmtId="0" fontId="23" fillId="12" borderId="1" xfId="0" applyFont="1" applyFill="1" applyBorder="1" applyAlignment="1">
      <alignment vertical="center" wrapText="1"/>
    </xf>
    <xf numFmtId="0" fontId="29" fillId="3" borderId="2" xfId="0" applyFont="1" applyFill="1" applyBorder="1"/>
    <xf numFmtId="0" fontId="29" fillId="3" borderId="3" xfId="0" applyFont="1" applyFill="1" applyBorder="1"/>
    <xf numFmtId="0" fontId="30" fillId="12" borderId="1" xfId="0" applyFont="1" applyFill="1" applyBorder="1" applyAlignment="1">
      <alignment horizontal="center" vertical="center" wrapText="1"/>
    </xf>
    <xf numFmtId="0" fontId="31" fillId="0" borderId="0" xfId="0" applyFont="1"/>
    <xf numFmtId="0" fontId="26" fillId="14" borderId="42" xfId="0" applyFont="1" applyFill="1" applyBorder="1" applyAlignment="1">
      <alignment horizontal="left" vertical="center" wrapText="1"/>
    </xf>
    <xf numFmtId="0" fontId="26" fillId="15" borderId="42" xfId="0" applyFont="1" applyFill="1" applyBorder="1" applyAlignment="1">
      <alignment horizontal="center" vertical="center"/>
    </xf>
    <xf numFmtId="0" fontId="26" fillId="0" borderId="42" xfId="0" applyFont="1" applyBorder="1" applyAlignment="1">
      <alignment horizontal="center" vertical="center"/>
    </xf>
    <xf numFmtId="0" fontId="26" fillId="0" borderId="0" xfId="0" applyFont="1"/>
    <xf numFmtId="0" fontId="26" fillId="16" borderId="13" xfId="0" applyFont="1" applyFill="1" applyBorder="1" applyAlignment="1">
      <alignment horizontal="left" vertical="center" wrapText="1"/>
    </xf>
    <xf numFmtId="0" fontId="26" fillId="0" borderId="13" xfId="0" applyFont="1" applyBorder="1" applyAlignment="1">
      <alignment horizontal="center" vertical="center"/>
    </xf>
    <xf numFmtId="0" fontId="26" fillId="0" borderId="13" xfId="0" applyFont="1" applyBorder="1"/>
    <xf numFmtId="0" fontId="26" fillId="14" borderId="52" xfId="0" applyFont="1" applyFill="1" applyBorder="1" applyAlignment="1">
      <alignment horizontal="left" vertical="center" wrapText="1"/>
    </xf>
    <xf numFmtId="0" fontId="26" fillId="15" borderId="13" xfId="0" applyFont="1" applyFill="1" applyBorder="1" applyAlignment="1">
      <alignment horizontal="center" vertical="center"/>
    </xf>
    <xf numFmtId="0" fontId="26" fillId="16" borderId="52" xfId="0" applyFont="1" applyFill="1" applyBorder="1" applyAlignment="1">
      <alignment horizontal="left" vertical="center" wrapText="1"/>
    </xf>
    <xf numFmtId="0" fontId="26" fillId="0" borderId="13" xfId="0" applyFont="1" applyBorder="1" applyAlignment="1">
      <alignment horizontal="center" vertical="center" wrapText="1"/>
    </xf>
    <xf numFmtId="0" fontId="26" fillId="18" borderId="13" xfId="0" applyFont="1" applyFill="1" applyBorder="1" applyAlignment="1">
      <alignment horizontal="center" vertical="center" wrapText="1"/>
    </xf>
    <xf numFmtId="9" fontId="32" fillId="19" borderId="13" xfId="0" applyNumberFormat="1" applyFont="1" applyFill="1" applyBorder="1" applyAlignment="1">
      <alignment horizontal="center" vertical="center" wrapText="1"/>
    </xf>
    <xf numFmtId="9" fontId="30" fillId="20" borderId="46" xfId="0" applyNumberFormat="1" applyFont="1" applyFill="1" applyBorder="1" applyAlignment="1">
      <alignment horizontal="center" vertical="center" wrapText="1"/>
    </xf>
    <xf numFmtId="9" fontId="30" fillId="20" borderId="13" xfId="0" applyNumberFormat="1" applyFont="1" applyFill="1" applyBorder="1" applyAlignment="1">
      <alignment horizontal="center" vertical="center" wrapText="1"/>
    </xf>
    <xf numFmtId="0" fontId="34" fillId="0" borderId="0" xfId="0" applyFont="1"/>
    <xf numFmtId="0" fontId="30" fillId="12" borderId="73" xfId="0" applyFont="1" applyFill="1" applyBorder="1" applyAlignment="1">
      <alignment horizontal="center" vertical="center"/>
    </xf>
    <xf numFmtId="0" fontId="30" fillId="12" borderId="74" xfId="0" applyFont="1" applyFill="1" applyBorder="1" applyAlignment="1">
      <alignment horizontal="center" vertical="center" wrapText="1"/>
    </xf>
    <xf numFmtId="0" fontId="30" fillId="12" borderId="71" xfId="0" applyFont="1" applyFill="1" applyBorder="1" applyAlignment="1">
      <alignment horizontal="center" vertical="center" wrapText="1"/>
    </xf>
    <xf numFmtId="0" fontId="30" fillId="12" borderId="72" xfId="0" applyFont="1" applyFill="1" applyBorder="1" applyAlignment="1">
      <alignment horizontal="center" vertical="center" wrapText="1"/>
    </xf>
    <xf numFmtId="0" fontId="34" fillId="0" borderId="42" xfId="0" applyFont="1" applyBorder="1" applyAlignment="1">
      <alignment horizontal="center" vertical="center"/>
    </xf>
    <xf numFmtId="0" fontId="33" fillId="0" borderId="78" xfId="0" applyFont="1" applyBorder="1"/>
    <xf numFmtId="0" fontId="33" fillId="0" borderId="57" xfId="0" applyFont="1" applyBorder="1"/>
    <xf numFmtId="0" fontId="34" fillId="0" borderId="4" xfId="0" applyFont="1" applyBorder="1" applyAlignment="1">
      <alignment horizontal="center" vertical="center"/>
    </xf>
    <xf numFmtId="0" fontId="31" fillId="29" borderId="3" xfId="0" applyFont="1" applyFill="1" applyBorder="1"/>
    <xf numFmtId="0" fontId="31" fillId="29" borderId="4" xfId="0" applyFont="1" applyFill="1" applyBorder="1"/>
    <xf numFmtId="0" fontId="31" fillId="30" borderId="78" xfId="0" applyFont="1" applyFill="1" applyBorder="1"/>
    <xf numFmtId="0" fontId="31" fillId="30" borderId="57" xfId="0" applyFont="1" applyFill="1" applyBorder="1"/>
    <xf numFmtId="0" fontId="26" fillId="27" borderId="49" xfId="0" applyFont="1" applyFill="1" applyBorder="1" applyAlignment="1">
      <alignment horizontal="left" vertical="center" wrapText="1"/>
    </xf>
    <xf numFmtId="0" fontId="26" fillId="0" borderId="50" xfId="0" applyFont="1" applyBorder="1" applyAlignment="1">
      <alignment horizontal="center" vertical="center" wrapText="1"/>
    </xf>
    <xf numFmtId="0" fontId="26" fillId="26" borderId="42" xfId="0" applyFont="1" applyFill="1" applyBorder="1" applyAlignment="1">
      <alignment horizontal="left" vertical="center" wrapText="1"/>
    </xf>
    <xf numFmtId="0" fontId="34" fillId="8" borderId="42" xfId="0" applyFont="1" applyFill="1" applyBorder="1" applyAlignment="1">
      <alignment horizontal="center" vertical="center"/>
    </xf>
    <xf numFmtId="0" fontId="26" fillId="26" borderId="13" xfId="0" applyFont="1" applyFill="1" applyBorder="1" applyAlignment="1">
      <alignment horizontal="left" vertical="center" wrapText="1"/>
    </xf>
    <xf numFmtId="0" fontId="34" fillId="0" borderId="13" xfId="0" applyFont="1" applyBorder="1" applyAlignment="1">
      <alignment horizontal="center" vertical="center"/>
    </xf>
    <xf numFmtId="0" fontId="34" fillId="0" borderId="50" xfId="0" applyFont="1" applyBorder="1" applyAlignment="1">
      <alignment horizontal="center" vertical="center"/>
    </xf>
    <xf numFmtId="0" fontId="34" fillId="8" borderId="13" xfId="0" applyFont="1" applyFill="1" applyBorder="1" applyAlignment="1">
      <alignment horizontal="center" vertical="center"/>
    </xf>
    <xf numFmtId="0" fontId="33" fillId="30" borderId="78" xfId="0" applyFont="1" applyFill="1" applyBorder="1"/>
    <xf numFmtId="0" fontId="33" fillId="30" borderId="44" xfId="0" applyFont="1" applyFill="1" applyBorder="1"/>
    <xf numFmtId="0" fontId="34" fillId="33" borderId="13" xfId="0" applyFont="1" applyFill="1" applyBorder="1" applyAlignment="1">
      <alignment horizontal="center" vertical="center"/>
    </xf>
    <xf numFmtId="0" fontId="34" fillId="18" borderId="13" xfId="0" applyFont="1" applyFill="1" applyBorder="1" applyAlignment="1">
      <alignment horizontal="center" vertical="center" wrapText="1"/>
    </xf>
    <xf numFmtId="0" fontId="34" fillId="18" borderId="4" xfId="0" applyFont="1" applyFill="1" applyBorder="1" applyAlignment="1">
      <alignment horizontal="center" vertical="center" wrapText="1"/>
    </xf>
    <xf numFmtId="0" fontId="34" fillId="18" borderId="46" xfId="0" applyFont="1" applyFill="1" applyBorder="1" applyAlignment="1">
      <alignment horizontal="center" vertical="center" wrapText="1"/>
    </xf>
    <xf numFmtId="0" fontId="34" fillId="18" borderId="53" xfId="0" applyFont="1" applyFill="1" applyBorder="1" applyAlignment="1">
      <alignment horizontal="center" vertical="center" wrapText="1"/>
    </xf>
    <xf numFmtId="0" fontId="34" fillId="18" borderId="7" xfId="0" applyFont="1" applyFill="1" applyBorder="1" applyAlignment="1">
      <alignment horizontal="center" vertical="center" wrapText="1"/>
    </xf>
    <xf numFmtId="0" fontId="34" fillId="15" borderId="42" xfId="0" applyFont="1" applyFill="1" applyBorder="1" applyAlignment="1">
      <alignment horizontal="center" vertical="center"/>
    </xf>
    <xf numFmtId="0" fontId="34" fillId="0" borderId="0" xfId="0" applyFont="1" applyAlignment="1">
      <alignment vertical="center"/>
    </xf>
    <xf numFmtId="0" fontId="35" fillId="0" borderId="0" xfId="0" applyFont="1" applyAlignment="1">
      <alignment horizontal="center" vertical="center"/>
    </xf>
    <xf numFmtId="0" fontId="34" fillId="21" borderId="13" xfId="0" applyFont="1" applyFill="1" applyBorder="1" applyAlignment="1">
      <alignment horizontal="center"/>
    </xf>
    <xf numFmtId="0" fontId="34" fillId="22" borderId="13" xfId="0" applyFont="1" applyFill="1" applyBorder="1" applyAlignment="1">
      <alignment horizontal="center"/>
    </xf>
    <xf numFmtId="9" fontId="34" fillId="0" borderId="0" xfId="0" applyNumberFormat="1" applyFont="1"/>
    <xf numFmtId="16" fontId="34" fillId="0" borderId="13" xfId="0" applyNumberFormat="1" applyFont="1" applyBorder="1" applyAlignment="1">
      <alignment horizontal="center"/>
    </xf>
    <xf numFmtId="0" fontId="34" fillId="0" borderId="57" xfId="0" applyFont="1" applyBorder="1"/>
    <xf numFmtId="0" fontId="26" fillId="0" borderId="0" xfId="0" applyFont="1" applyAlignment="1">
      <alignment vertical="center" wrapText="1"/>
    </xf>
    <xf numFmtId="0" fontId="34" fillId="34" borderId="0" xfId="0" applyFont="1" applyFill="1" applyAlignment="1">
      <alignment vertical="top" wrapText="1"/>
    </xf>
    <xf numFmtId="0" fontId="34" fillId="33" borderId="0" xfId="0" applyFont="1" applyFill="1" applyAlignment="1">
      <alignment vertical="top" wrapText="1"/>
    </xf>
    <xf numFmtId="0" fontId="34" fillId="34" borderId="0" xfId="0" applyFont="1" applyFill="1"/>
    <xf numFmtId="0" fontId="34" fillId="34" borderId="0" xfId="0" applyFont="1" applyFill="1" applyAlignment="1">
      <alignment horizontal="center" vertical="center"/>
    </xf>
    <xf numFmtId="9" fontId="34" fillId="34" borderId="0" xfId="0" applyNumberFormat="1" applyFont="1" applyFill="1"/>
    <xf numFmtId="0" fontId="34" fillId="33" borderId="0" xfId="0" applyFont="1" applyFill="1"/>
    <xf numFmtId="0" fontId="27" fillId="0" borderId="80" xfId="3" applyFont="1" applyBorder="1" applyAlignment="1">
      <alignment vertical="center" wrapText="1"/>
    </xf>
    <xf numFmtId="0" fontId="41" fillId="0" borderId="0" xfId="3" applyFont="1"/>
    <xf numFmtId="0" fontId="27" fillId="0" borderId="67" xfId="3" applyFont="1" applyBorder="1" applyAlignment="1">
      <alignment vertical="center" wrapText="1"/>
    </xf>
    <xf numFmtId="0" fontId="38" fillId="12" borderId="88" xfId="3" applyFont="1" applyFill="1" applyBorder="1" applyAlignment="1">
      <alignment horizontal="center" vertical="center"/>
    </xf>
    <xf numFmtId="0" fontId="38" fillId="12" borderId="89" xfId="3" applyFont="1" applyFill="1" applyBorder="1" applyAlignment="1">
      <alignment horizontal="center" vertical="center" wrapText="1"/>
    </xf>
    <xf numFmtId="0" fontId="38" fillId="12" borderId="44" xfId="3" applyFont="1" applyFill="1" applyBorder="1" applyAlignment="1">
      <alignment horizontal="center" vertical="center" wrapText="1"/>
    </xf>
    <xf numFmtId="0" fontId="38" fillId="12" borderId="90" xfId="3" applyFont="1" applyFill="1" applyBorder="1" applyAlignment="1">
      <alignment horizontal="center" vertical="center" wrapText="1"/>
    </xf>
    <xf numFmtId="0" fontId="38" fillId="12" borderId="71" xfId="3" applyFont="1" applyFill="1" applyBorder="1" applyAlignment="1">
      <alignment horizontal="center" vertical="center" wrapText="1"/>
    </xf>
    <xf numFmtId="0" fontId="27" fillId="36" borderId="13" xfId="3" applyFont="1" applyFill="1" applyBorder="1" applyAlignment="1">
      <alignment horizontal="left" vertical="center" wrapText="1"/>
    </xf>
    <xf numFmtId="0" fontId="41" fillId="24" borderId="42" xfId="3" applyFont="1" applyFill="1" applyBorder="1" applyAlignment="1">
      <alignment horizontal="center" vertical="center"/>
    </xf>
    <xf numFmtId="0" fontId="41" fillId="24" borderId="0" xfId="3" applyFont="1" applyFill="1"/>
    <xf numFmtId="0" fontId="41" fillId="37" borderId="13" xfId="3" applyFont="1" applyFill="1" applyBorder="1" applyAlignment="1">
      <alignment horizontal="center" vertical="center"/>
    </xf>
    <xf numFmtId="0" fontId="27" fillId="24" borderId="13" xfId="3" applyFont="1" applyFill="1" applyBorder="1" applyAlignment="1">
      <alignment horizontal="center" vertical="center" wrapText="1"/>
    </xf>
    <xf numFmtId="0" fontId="27" fillId="24" borderId="91" xfId="3" applyFont="1" applyFill="1" applyBorder="1" applyAlignment="1">
      <alignment horizontal="center" vertical="center" wrapText="1"/>
    </xf>
    <xf numFmtId="0" fontId="41" fillId="37" borderId="13" xfId="3" applyFont="1" applyFill="1" applyBorder="1" applyAlignment="1">
      <alignment horizontal="left" vertical="center" wrapText="1"/>
    </xf>
    <xf numFmtId="0" fontId="41" fillId="37" borderId="42" xfId="3" applyFont="1" applyFill="1" applyBorder="1" applyAlignment="1">
      <alignment horizontal="center" vertical="center"/>
    </xf>
    <xf numFmtId="0" fontId="39" fillId="37" borderId="13" xfId="3" applyFont="1" applyFill="1" applyBorder="1" applyAlignment="1">
      <alignment horizontal="left" vertical="center" wrapText="1"/>
    </xf>
    <xf numFmtId="0" fontId="27" fillId="24" borderId="42" xfId="3" applyFont="1" applyFill="1" applyBorder="1" applyAlignment="1">
      <alignment horizontal="center" vertical="center"/>
    </xf>
    <xf numFmtId="0" fontId="41" fillId="24" borderId="44" xfId="3" applyFont="1" applyFill="1" applyBorder="1" applyAlignment="1">
      <alignment horizontal="center" vertical="center"/>
    </xf>
    <xf numFmtId="0" fontId="41" fillId="24" borderId="48" xfId="3" applyFont="1" applyFill="1" applyBorder="1" applyAlignment="1">
      <alignment horizontal="center" vertical="center"/>
    </xf>
    <xf numFmtId="0" fontId="41" fillId="0" borderId="4" xfId="3" applyFont="1" applyBorder="1"/>
    <xf numFmtId="0" fontId="41" fillId="24" borderId="49" xfId="3" applyFont="1" applyFill="1" applyBorder="1" applyAlignment="1">
      <alignment horizontal="center" vertical="center"/>
    </xf>
    <xf numFmtId="0" fontId="41" fillId="24" borderId="4" xfId="3" applyFont="1" applyFill="1" applyBorder="1" applyAlignment="1">
      <alignment horizontal="center" vertical="center"/>
    </xf>
    <xf numFmtId="0" fontId="41" fillId="24" borderId="13" xfId="3" applyFont="1" applyFill="1" applyBorder="1"/>
    <xf numFmtId="0" fontId="41" fillId="24" borderId="91" xfId="3" applyFont="1" applyFill="1" applyBorder="1"/>
    <xf numFmtId="0" fontId="27" fillId="36" borderId="52" xfId="3" applyFont="1" applyFill="1" applyBorder="1" applyAlignment="1">
      <alignment horizontal="left" vertical="center" wrapText="1"/>
    </xf>
    <xf numFmtId="0" fontId="39" fillId="37" borderId="52" xfId="3" applyFont="1" applyFill="1" applyBorder="1" applyAlignment="1">
      <alignment horizontal="left" vertical="center" wrapText="1"/>
    </xf>
    <xf numFmtId="0" fontId="41" fillId="24" borderId="46" xfId="3" applyFont="1" applyFill="1" applyBorder="1"/>
    <xf numFmtId="0" fontId="41" fillId="24" borderId="87" xfId="3" applyFont="1" applyFill="1" applyBorder="1"/>
    <xf numFmtId="0" fontId="39" fillId="37" borderId="51" xfId="3" applyFont="1" applyFill="1" applyBorder="1" applyAlignment="1">
      <alignment horizontal="left" vertical="center" wrapText="1"/>
    </xf>
    <xf numFmtId="0" fontId="41" fillId="24" borderId="4" xfId="3" applyFont="1" applyFill="1" applyBorder="1"/>
    <xf numFmtId="0" fontId="27" fillId="36" borderId="51" xfId="3" applyFont="1" applyFill="1" applyBorder="1" applyAlignment="1">
      <alignment horizontal="left" vertical="center" wrapText="1"/>
    </xf>
    <xf numFmtId="0" fontId="41" fillId="40" borderId="0" xfId="3" applyFont="1" applyFill="1"/>
    <xf numFmtId="0" fontId="38" fillId="35" borderId="57" xfId="3" applyFont="1" applyFill="1" applyBorder="1" applyAlignment="1">
      <alignment horizontal="center" vertical="center"/>
    </xf>
    <xf numFmtId="0" fontId="41" fillId="34" borderId="42" xfId="3" applyFont="1" applyFill="1" applyBorder="1" applyAlignment="1">
      <alignment horizontal="center" vertical="center" wrapText="1"/>
    </xf>
    <xf numFmtId="0" fontId="41" fillId="34" borderId="4" xfId="3" applyFont="1" applyFill="1" applyBorder="1" applyAlignment="1">
      <alignment horizontal="center" vertical="center" wrapText="1"/>
    </xf>
    <xf numFmtId="0" fontId="41" fillId="0" borderId="49" xfId="3" applyFont="1" applyBorder="1"/>
    <xf numFmtId="0" fontId="41" fillId="0" borderId="42" xfId="3" applyFont="1" applyBorder="1"/>
    <xf numFmtId="0" fontId="41" fillId="34" borderId="13" xfId="3" applyFont="1" applyFill="1" applyBorder="1" applyAlignment="1">
      <alignment horizontal="center" vertical="center" wrapText="1"/>
    </xf>
    <xf numFmtId="0" fontId="41" fillId="34" borderId="50" xfId="3" applyFont="1" applyFill="1" applyBorder="1" applyAlignment="1">
      <alignment horizontal="center" vertical="center" wrapText="1"/>
    </xf>
    <xf numFmtId="0" fontId="41" fillId="0" borderId="52" xfId="3" applyFont="1" applyBorder="1"/>
    <xf numFmtId="0" fontId="41" fillId="0" borderId="13" xfId="3" applyFont="1" applyBorder="1" applyAlignment="1">
      <alignment horizontal="center" vertical="center"/>
    </xf>
    <xf numFmtId="0" fontId="41" fillId="0" borderId="13" xfId="3" applyFont="1" applyBorder="1"/>
    <xf numFmtId="9" fontId="41" fillId="34" borderId="13" xfId="3" applyNumberFormat="1" applyFont="1" applyFill="1" applyBorder="1" applyAlignment="1">
      <alignment horizontal="center" vertical="center" wrapText="1"/>
    </xf>
    <xf numFmtId="9" fontId="41" fillId="34" borderId="50" xfId="3" applyNumberFormat="1" applyFont="1" applyFill="1" applyBorder="1" applyAlignment="1">
      <alignment horizontal="center" vertical="center" wrapText="1"/>
    </xf>
    <xf numFmtId="9" fontId="41" fillId="34" borderId="4" xfId="3" applyNumberFormat="1" applyFont="1" applyFill="1" applyBorder="1" applyAlignment="1">
      <alignment horizontal="center" vertical="center" wrapText="1"/>
    </xf>
    <xf numFmtId="0" fontId="41" fillId="0" borderId="52" xfId="3" applyFont="1" applyBorder="1" applyAlignment="1">
      <alignment horizontal="center" vertical="center"/>
    </xf>
    <xf numFmtId="0" fontId="41" fillId="0" borderId="0" xfId="3" applyFont="1" applyAlignment="1">
      <alignment vertical="center"/>
    </xf>
    <xf numFmtId="0" fontId="45" fillId="0" borderId="0" xfId="3" applyFont="1" applyAlignment="1">
      <alignment horizontal="center" vertical="center"/>
    </xf>
    <xf numFmtId="0" fontId="41" fillId="0" borderId="0" xfId="3" applyFont="1" applyAlignment="1">
      <alignment horizontal="center" vertical="center"/>
    </xf>
    <xf numFmtId="0" fontId="29" fillId="0" borderId="86" xfId="0" applyFont="1" applyBorder="1" applyAlignment="1">
      <alignment horizontal="center" vertical="center"/>
    </xf>
    <xf numFmtId="0" fontId="44" fillId="15" borderId="89" xfId="0" applyFont="1" applyFill="1" applyBorder="1" applyAlignment="1">
      <alignment horizontal="center" vertical="center"/>
    </xf>
    <xf numFmtId="0" fontId="41" fillId="0" borderId="0" xfId="3" applyFont="1" applyAlignment="1">
      <alignment horizontal="center" vertical="center" wrapText="1"/>
    </xf>
    <xf numFmtId="0" fontId="41" fillId="0" borderId="0" xfId="3" applyFont="1" applyAlignment="1">
      <alignment vertical="top" wrapText="1"/>
    </xf>
    <xf numFmtId="0" fontId="41" fillId="0" borderId="59" xfId="3" applyFont="1" applyBorder="1" applyAlignment="1">
      <alignment vertical="top" wrapText="1"/>
    </xf>
    <xf numFmtId="0" fontId="41" fillId="0" borderId="80" xfId="3" applyFont="1" applyBorder="1" applyAlignment="1">
      <alignment vertical="top" wrapText="1"/>
    </xf>
    <xf numFmtId="0" fontId="44" fillId="21" borderId="13" xfId="0" applyFont="1" applyFill="1" applyBorder="1" applyAlignment="1">
      <alignment horizontal="center" vertical="center"/>
    </xf>
    <xf numFmtId="0" fontId="41" fillId="0" borderId="67" xfId="3" applyFont="1" applyBorder="1" applyAlignment="1">
      <alignment vertical="top" wrapText="1"/>
    </xf>
    <xf numFmtId="0" fontId="44" fillId="22" borderId="13" xfId="0" applyFont="1" applyFill="1" applyBorder="1" applyAlignment="1">
      <alignment horizontal="center" vertical="center"/>
    </xf>
    <xf numFmtId="0" fontId="41" fillId="0" borderId="60" xfId="3" applyFont="1" applyBorder="1" applyAlignment="1">
      <alignment vertical="top" wrapText="1"/>
    </xf>
    <xf numFmtId="0" fontId="45" fillId="0" borderId="0" xfId="3" applyFont="1" applyAlignment="1">
      <alignment horizontal="center" vertical="center" wrapText="1"/>
    </xf>
    <xf numFmtId="0" fontId="41" fillId="0" borderId="81" xfId="3" applyFont="1" applyBorder="1" applyAlignment="1">
      <alignment vertical="top" wrapText="1"/>
    </xf>
    <xf numFmtId="0" fontId="45" fillId="0" borderId="68" xfId="3" applyFont="1" applyBorder="1" applyAlignment="1">
      <alignment horizontal="center" vertical="center" wrapText="1"/>
    </xf>
    <xf numFmtId="0" fontId="41" fillId="0" borderId="68" xfId="3" applyFont="1" applyBorder="1" applyAlignment="1">
      <alignment horizontal="center" vertical="center" wrapText="1"/>
    </xf>
    <xf numFmtId="0" fontId="41" fillId="0" borderId="68" xfId="3" applyFont="1" applyBorder="1" applyAlignment="1">
      <alignment vertical="top" wrapText="1"/>
    </xf>
    <xf numFmtId="0" fontId="41" fillId="0" borderId="69" xfId="3" applyFont="1" applyBorder="1" applyAlignment="1">
      <alignment vertical="top" wrapText="1"/>
    </xf>
    <xf numFmtId="0" fontId="0" fillId="0" borderId="0" xfId="0" applyAlignment="1">
      <alignment horizontal="center" vertical="center"/>
    </xf>
    <xf numFmtId="0" fontId="25" fillId="0" borderId="65" xfId="0" applyFont="1" applyBorder="1" applyAlignment="1">
      <alignment horizontal="center" wrapText="1"/>
    </xf>
    <xf numFmtId="0" fontId="25" fillId="0" borderId="0" xfId="0" applyFont="1" applyAlignment="1">
      <alignment horizontal="center"/>
    </xf>
    <xf numFmtId="0" fontId="48" fillId="0" borderId="0" xfId="0" applyFont="1" applyAlignment="1">
      <alignment horizontal="center"/>
    </xf>
    <xf numFmtId="0" fontId="0" fillId="0" borderId="0" xfId="0" applyAlignment="1">
      <alignment horizontal="center"/>
    </xf>
    <xf numFmtId="0" fontId="25" fillId="0" borderId="78" xfId="0" applyFont="1" applyBorder="1" applyAlignment="1">
      <alignment horizontal="center" wrapText="1"/>
    </xf>
    <xf numFmtId="0" fontId="30" fillId="35" borderId="13" xfId="0" applyFont="1" applyFill="1" applyBorder="1" applyAlignment="1">
      <alignment horizontal="center" vertical="center"/>
    </xf>
    <xf numFmtId="0" fontId="30" fillId="35" borderId="52" xfId="0" applyFont="1" applyFill="1" applyBorder="1" applyAlignment="1">
      <alignment horizontal="center" vertical="center" wrapText="1"/>
    </xf>
    <xf numFmtId="0" fontId="30" fillId="35" borderId="49" xfId="0" applyFont="1" applyFill="1" applyBorder="1" applyAlignment="1">
      <alignment horizontal="center" vertical="center" wrapText="1"/>
    </xf>
    <xf numFmtId="0" fontId="49" fillId="35" borderId="49" xfId="0" applyFont="1" applyFill="1" applyBorder="1" applyAlignment="1">
      <alignment horizontal="center" vertical="center" wrapText="1"/>
    </xf>
    <xf numFmtId="0" fontId="30" fillId="35" borderId="78" xfId="0" applyFont="1" applyFill="1" applyBorder="1" applyAlignment="1">
      <alignment horizontal="center" vertical="center" wrapText="1"/>
    </xf>
    <xf numFmtId="0" fontId="30" fillId="35" borderId="78" xfId="0" applyFont="1" applyFill="1" applyBorder="1" applyAlignment="1">
      <alignment horizontal="center" wrapText="1"/>
    </xf>
    <xf numFmtId="0" fontId="30" fillId="35" borderId="79" xfId="0" applyFont="1" applyFill="1" applyBorder="1" applyAlignment="1">
      <alignment horizontal="center" vertical="center" wrapText="1"/>
    </xf>
    <xf numFmtId="0" fontId="32" fillId="36" borderId="52" xfId="0" applyFont="1" applyFill="1" applyBorder="1" applyAlignment="1">
      <alignment wrapText="1"/>
    </xf>
    <xf numFmtId="0" fontId="32" fillId="36" borderId="52" xfId="0" applyFont="1" applyFill="1" applyBorder="1" applyAlignment="1">
      <alignment horizontal="center" wrapText="1"/>
    </xf>
    <xf numFmtId="0" fontId="32" fillId="24" borderId="49" xfId="0" applyFont="1" applyFill="1" applyBorder="1"/>
    <xf numFmtId="0" fontId="32" fillId="24" borderId="0" xfId="0" applyFont="1" applyFill="1"/>
    <xf numFmtId="0" fontId="32" fillId="24" borderId="42" xfId="0" applyFont="1" applyFill="1" applyBorder="1"/>
    <xf numFmtId="0" fontId="32" fillId="24" borderId="14" xfId="0" applyFont="1" applyFill="1" applyBorder="1"/>
    <xf numFmtId="0" fontId="32" fillId="24" borderId="4" xfId="0" applyFont="1" applyFill="1" applyBorder="1"/>
    <xf numFmtId="0" fontId="48" fillId="0" borderId="0" xfId="0" applyFont="1"/>
    <xf numFmtId="0" fontId="32" fillId="42" borderId="49" xfId="0" applyFont="1" applyFill="1" applyBorder="1" applyAlignment="1">
      <alignment wrapText="1"/>
    </xf>
    <xf numFmtId="0" fontId="32" fillId="24" borderId="49" xfId="0" applyFont="1" applyFill="1" applyBorder="1" applyAlignment="1">
      <alignment horizontal="center" vertical="center"/>
    </xf>
    <xf numFmtId="0" fontId="32" fillId="24" borderId="52" xfId="0" applyFont="1" applyFill="1" applyBorder="1"/>
    <xf numFmtId="0" fontId="32" fillId="36" borderId="51" xfId="0" applyFont="1" applyFill="1" applyBorder="1" applyAlignment="1">
      <alignment horizontal="center" wrapText="1"/>
    </xf>
    <xf numFmtId="0" fontId="32" fillId="36" borderId="4" xfId="0" applyFont="1" applyFill="1" applyBorder="1" applyAlignment="1">
      <alignment horizontal="center" wrapText="1"/>
    </xf>
    <xf numFmtId="0" fontId="32" fillId="8" borderId="52" xfId="0" applyFont="1" applyFill="1" applyBorder="1" applyAlignment="1">
      <alignment horizontal="center" wrapText="1"/>
    </xf>
    <xf numFmtId="0" fontId="32" fillId="24" borderId="78" xfId="0" applyFont="1" applyFill="1" applyBorder="1"/>
    <xf numFmtId="0" fontId="32" fillId="0" borderId="4" xfId="0" applyFont="1" applyBorder="1"/>
    <xf numFmtId="0" fontId="32" fillId="24" borderId="10" xfId="0" applyFont="1" applyFill="1" applyBorder="1"/>
    <xf numFmtId="0" fontId="32" fillId="44" borderId="0" xfId="0" applyFont="1" applyFill="1"/>
    <xf numFmtId="0" fontId="30" fillId="35" borderId="57" xfId="0" applyFont="1" applyFill="1" applyBorder="1" applyAlignment="1">
      <alignment horizontal="center"/>
    </xf>
    <xf numFmtId="0" fontId="30" fillId="35" borderId="57" xfId="0" applyFont="1" applyFill="1" applyBorder="1"/>
    <xf numFmtId="0" fontId="30" fillId="35" borderId="57" xfId="0" applyFont="1" applyFill="1" applyBorder="1" applyAlignment="1">
      <alignment horizontal="center" vertical="center"/>
    </xf>
    <xf numFmtId="0" fontId="49" fillId="35" borderId="57" xfId="0" applyFont="1" applyFill="1" applyBorder="1" applyAlignment="1">
      <alignment horizontal="center" vertical="center"/>
    </xf>
    <xf numFmtId="0" fontId="35" fillId="34" borderId="42" xfId="3" applyFont="1" applyFill="1" applyBorder="1" applyAlignment="1">
      <alignment horizontal="center" vertical="center" wrapText="1"/>
    </xf>
    <xf numFmtId="0" fontId="32" fillId="24" borderId="49" xfId="0" applyFont="1" applyFill="1" applyBorder="1" applyAlignment="1">
      <alignment wrapText="1"/>
    </xf>
    <xf numFmtId="0" fontId="32" fillId="24" borderId="14" xfId="0" applyFont="1" applyFill="1" applyBorder="1" applyAlignment="1">
      <alignment wrapText="1"/>
    </xf>
    <xf numFmtId="0" fontId="32" fillId="24" borderId="4" xfId="0" applyFont="1" applyFill="1" applyBorder="1" applyAlignment="1">
      <alignment wrapText="1"/>
    </xf>
    <xf numFmtId="0" fontId="32" fillId="0" borderId="0" xfId="0" applyFont="1"/>
    <xf numFmtId="0" fontId="32" fillId="0" borderId="0" xfId="0" applyFont="1" applyAlignment="1">
      <alignment horizontal="center"/>
    </xf>
    <xf numFmtId="0" fontId="32" fillId="0" borderId="0" xfId="0" applyFont="1" applyAlignment="1">
      <alignment horizontal="center" vertical="center"/>
    </xf>
    <xf numFmtId="0" fontId="26" fillId="0" borderId="0" xfId="0" applyFont="1" applyAlignment="1">
      <alignment horizontal="center" vertical="center"/>
    </xf>
    <xf numFmtId="0" fontId="27" fillId="0" borderId="0" xfId="0" applyFont="1" applyAlignment="1">
      <alignment horizontal="center"/>
    </xf>
    <xf numFmtId="0" fontId="27" fillId="0" borderId="0" xfId="0" applyFont="1" applyAlignment="1">
      <alignment horizontal="center" vertical="center"/>
    </xf>
    <xf numFmtId="0" fontId="50" fillId="0" borderId="0" xfId="0" applyFont="1" applyAlignment="1">
      <alignment horizontal="center" vertical="center"/>
    </xf>
    <xf numFmtId="0" fontId="16" fillId="0" borderId="0" xfId="0" applyFont="1"/>
    <xf numFmtId="0" fontId="29" fillId="0" borderId="14" xfId="0" applyFont="1" applyBorder="1" applyAlignment="1">
      <alignment horizontal="center" vertical="center"/>
    </xf>
    <xf numFmtId="0" fontId="44" fillId="15" borderId="4" xfId="0" applyFont="1" applyFill="1" applyBorder="1" applyAlignment="1">
      <alignment horizontal="center" vertical="center"/>
    </xf>
    <xf numFmtId="0" fontId="41" fillId="0" borderId="0" xfId="3" applyFont="1" applyAlignment="1">
      <alignment horizontal="center" wrapText="1"/>
    </xf>
    <xf numFmtId="0" fontId="27" fillId="0" borderId="0" xfId="0" applyFont="1" applyAlignment="1">
      <alignment wrapText="1"/>
    </xf>
    <xf numFmtId="0" fontId="44" fillId="21" borderId="4" xfId="0" applyFont="1" applyFill="1" applyBorder="1" applyAlignment="1">
      <alignment horizontal="center" vertical="center"/>
    </xf>
    <xf numFmtId="0" fontId="44" fillId="22" borderId="4" xfId="0" applyFont="1" applyFill="1" applyBorder="1" applyAlignment="1">
      <alignment horizontal="center" vertical="center"/>
    </xf>
    <xf numFmtId="0" fontId="27" fillId="0" borderId="0" xfId="0" applyFont="1" applyAlignment="1">
      <alignment horizontal="center" wrapText="1"/>
    </xf>
    <xf numFmtId="0" fontId="27" fillId="24" borderId="0" xfId="0" applyFont="1" applyFill="1"/>
    <xf numFmtId="0" fontId="0" fillId="0" borderId="0" xfId="0" applyAlignment="1">
      <alignment horizontal="left" vertical="center" wrapText="1"/>
    </xf>
    <xf numFmtId="0" fontId="0" fillId="0" borderId="67" xfId="0" applyBorder="1" applyAlignment="1">
      <alignment horizontal="center" vertical="center" wrapText="1"/>
    </xf>
    <xf numFmtId="0" fontId="51" fillId="0" borderId="0" xfId="0" applyFont="1" applyAlignment="1">
      <alignment horizontal="center" vertical="center" wrapText="1"/>
    </xf>
    <xf numFmtId="0" fontId="52" fillId="0" borderId="0" xfId="0" applyFont="1" applyAlignment="1">
      <alignment horizontal="left" vertical="center" wrapText="1"/>
    </xf>
    <xf numFmtId="0" fontId="52" fillId="0" borderId="0" xfId="0" applyFont="1" applyAlignment="1">
      <alignment horizontal="center" vertical="center"/>
    </xf>
    <xf numFmtId="0" fontId="0" fillId="0" borderId="0" xfId="0" applyAlignment="1">
      <alignment horizontal="center" vertical="center" wrapText="1"/>
    </xf>
    <xf numFmtId="0" fontId="53" fillId="19" borderId="109" xfId="0" applyFont="1" applyFill="1" applyBorder="1" applyAlignment="1">
      <alignment horizontal="center" vertical="center" wrapText="1"/>
    </xf>
    <xf numFmtId="0" fontId="53" fillId="47" borderId="108" xfId="0" applyFont="1" applyFill="1" applyBorder="1" applyAlignment="1">
      <alignment horizontal="center" vertical="center"/>
    </xf>
    <xf numFmtId="0" fontId="53" fillId="47" borderId="108" xfId="0" applyFont="1" applyFill="1" applyBorder="1" applyAlignment="1">
      <alignment horizontal="center" vertical="center" wrapText="1"/>
    </xf>
    <xf numFmtId="0" fontId="53" fillId="16" borderId="115" xfId="0" applyFont="1" applyFill="1" applyBorder="1" applyAlignment="1">
      <alignment horizontal="center" vertical="center"/>
    </xf>
    <xf numFmtId="0" fontId="53" fillId="0" borderId="115" xfId="0" applyFont="1" applyBorder="1" applyAlignment="1">
      <alignment horizontal="center" vertical="center"/>
    </xf>
    <xf numFmtId="0" fontId="53" fillId="0" borderId="116" xfId="0" applyFont="1" applyBorder="1" applyAlignment="1">
      <alignment horizontal="center" vertical="center"/>
    </xf>
    <xf numFmtId="0" fontId="53" fillId="50" borderId="120" xfId="0" applyFont="1" applyFill="1" applyBorder="1" applyAlignment="1">
      <alignment horizontal="center" vertical="center"/>
    </xf>
    <xf numFmtId="0" fontId="53" fillId="0" borderId="120" xfId="0" applyFont="1" applyBorder="1" applyAlignment="1">
      <alignment horizontal="center" vertical="center"/>
    </xf>
    <xf numFmtId="0" fontId="53" fillId="0" borderId="36" xfId="0" applyFont="1" applyBorder="1" applyAlignment="1">
      <alignment horizontal="center" vertical="center"/>
    </xf>
    <xf numFmtId="0" fontId="53" fillId="16" borderId="10" xfId="0" applyFont="1" applyFill="1" applyBorder="1" applyAlignment="1">
      <alignment horizontal="center" vertical="center"/>
    </xf>
    <xf numFmtId="0" fontId="53" fillId="0" borderId="10" xfId="0" applyFont="1" applyBorder="1" applyAlignment="1">
      <alignment horizontal="center" vertical="center"/>
    </xf>
    <xf numFmtId="0" fontId="53" fillId="0" borderId="124" xfId="0" applyFont="1" applyBorder="1" applyAlignment="1">
      <alignment horizontal="center" vertical="center"/>
    </xf>
    <xf numFmtId="0" fontId="53" fillId="34" borderId="115" xfId="0" applyFont="1" applyFill="1" applyBorder="1" applyAlignment="1">
      <alignment horizontal="center" vertical="center"/>
    </xf>
    <xf numFmtId="0" fontId="53" fillId="34" borderId="120" xfId="0" applyFont="1" applyFill="1" applyBorder="1" applyAlignment="1">
      <alignment horizontal="center" vertical="center"/>
    </xf>
    <xf numFmtId="0" fontId="53" fillId="34" borderId="10" xfId="0" applyFont="1" applyFill="1" applyBorder="1" applyAlignment="1">
      <alignment horizontal="center" vertical="center"/>
    </xf>
    <xf numFmtId="0" fontId="53" fillId="16" borderId="38" xfId="0" applyFont="1" applyFill="1" applyBorder="1" applyAlignment="1">
      <alignment horizontal="center" vertical="center"/>
    </xf>
    <xf numFmtId="0" fontId="53" fillId="50" borderId="38" xfId="0" applyFont="1" applyFill="1" applyBorder="1" applyAlignment="1">
      <alignment horizontal="center" vertical="center"/>
    </xf>
    <xf numFmtId="0" fontId="53" fillId="34" borderId="38" xfId="0" applyFont="1" applyFill="1" applyBorder="1" applyAlignment="1">
      <alignment horizontal="center" vertical="center"/>
    </xf>
    <xf numFmtId="0" fontId="53" fillId="8" borderId="10" xfId="0" applyFont="1" applyFill="1" applyBorder="1" applyAlignment="1">
      <alignment horizontal="center" vertical="center"/>
    </xf>
    <xf numFmtId="0" fontId="53" fillId="50" borderId="7" xfId="0" applyFont="1" applyFill="1" applyBorder="1" applyAlignment="1">
      <alignment horizontal="center" vertical="center"/>
    </xf>
    <xf numFmtId="0" fontId="53" fillId="16" borderId="4" xfId="0" applyFont="1" applyFill="1" applyBorder="1" applyAlignment="1">
      <alignment horizontal="center" vertical="center"/>
    </xf>
    <xf numFmtId="0" fontId="53" fillId="50" borderId="4" xfId="0" applyFont="1" applyFill="1" applyBorder="1" applyAlignment="1">
      <alignment horizontal="center" vertical="center"/>
    </xf>
    <xf numFmtId="0" fontId="54" fillId="0" borderId="0" xfId="0" applyFont="1" applyAlignment="1">
      <alignment horizontal="center" vertical="center" textRotation="255"/>
    </xf>
    <xf numFmtId="0" fontId="55" fillId="0" borderId="0" xfId="0" applyFont="1" applyAlignment="1">
      <alignment horizontal="center" vertical="center" textRotation="90" wrapText="1"/>
    </xf>
    <xf numFmtId="0" fontId="46" fillId="0" borderId="0" xfId="0" applyFont="1" applyAlignment="1">
      <alignment horizontal="center" vertical="center" textRotation="90" wrapText="1"/>
    </xf>
    <xf numFmtId="0" fontId="46" fillId="0" borderId="0" xfId="0" applyFont="1" applyAlignment="1">
      <alignment horizontal="center" vertical="center" wrapText="1"/>
    </xf>
    <xf numFmtId="0" fontId="53" fillId="0" borderId="0" xfId="0" applyFont="1" applyAlignment="1">
      <alignment horizontal="center" vertical="center"/>
    </xf>
    <xf numFmtId="9" fontId="46" fillId="0" borderId="0" xfId="0" applyNumberFormat="1" applyFont="1" applyAlignment="1">
      <alignment horizontal="center" vertical="center"/>
    </xf>
    <xf numFmtId="0" fontId="57" fillId="0" borderId="52" xfId="0" applyFont="1" applyBorder="1" applyAlignment="1">
      <alignment horizontal="center" vertical="center"/>
    </xf>
    <xf numFmtId="0" fontId="29" fillId="0" borderId="0" xfId="0" applyFont="1" applyAlignment="1">
      <alignment horizontal="center" vertical="center"/>
    </xf>
    <xf numFmtId="0" fontId="55" fillId="49" borderId="53" xfId="0" applyFont="1" applyFill="1" applyBorder="1" applyAlignment="1">
      <alignment horizontal="center" vertical="center"/>
    </xf>
    <xf numFmtId="0" fontId="46" fillId="0" borderId="13" xfId="0" applyFont="1" applyBorder="1" applyAlignment="1">
      <alignment horizontal="left" vertical="center" wrapText="1"/>
    </xf>
    <xf numFmtId="0" fontId="53" fillId="0" borderId="50" xfId="0" applyFont="1" applyBorder="1" applyAlignment="1">
      <alignment horizontal="center" vertical="center" wrapText="1"/>
    </xf>
    <xf numFmtId="9" fontId="52" fillId="0" borderId="0" xfId="0" applyNumberFormat="1" applyFont="1" applyAlignment="1">
      <alignment horizontal="center" vertical="center"/>
    </xf>
    <xf numFmtId="0" fontId="52" fillId="0" borderId="14" xfId="0" applyFont="1" applyBorder="1" applyAlignment="1">
      <alignment horizontal="center" vertical="center"/>
    </xf>
    <xf numFmtId="0" fontId="52" fillId="0" borderId="14" xfId="0" applyFont="1" applyBorder="1" applyAlignment="1">
      <alignment horizontal="left" vertical="center" wrapText="1"/>
    </xf>
    <xf numFmtId="0" fontId="55" fillId="5" borderId="109" xfId="0" applyFont="1" applyFill="1" applyBorder="1" applyAlignment="1">
      <alignment horizontal="center" vertical="center"/>
    </xf>
    <xf numFmtId="0" fontId="55" fillId="0" borderId="0" xfId="0" applyFont="1" applyAlignment="1">
      <alignment horizontal="left" vertical="center" wrapText="1"/>
    </xf>
    <xf numFmtId="0" fontId="58" fillId="0" borderId="120" xfId="0" applyFont="1" applyBorder="1" applyAlignment="1">
      <alignment horizontal="center" vertical="center"/>
    </xf>
    <xf numFmtId="0" fontId="58" fillId="34" borderId="120" xfId="0" applyFont="1" applyFill="1" applyBorder="1" applyAlignment="1">
      <alignment horizontal="center" vertical="center"/>
    </xf>
    <xf numFmtId="0" fontId="0" fillId="0" borderId="10" xfId="0" applyBorder="1" applyAlignment="1">
      <alignment horizontal="center" vertical="center"/>
    </xf>
    <xf numFmtId="0" fontId="58" fillId="34" borderId="38" xfId="0" applyFont="1" applyFill="1" applyBorder="1" applyAlignment="1">
      <alignment horizontal="center" vertical="center"/>
    </xf>
    <xf numFmtId="0" fontId="58" fillId="0" borderId="10" xfId="0" applyFont="1" applyBorder="1" applyAlignment="1">
      <alignment horizontal="center" vertical="center"/>
    </xf>
    <xf numFmtId="0" fontId="56" fillId="0" borderId="13" xfId="0" applyFont="1" applyBorder="1" applyAlignment="1">
      <alignment horizontal="left" vertical="center" wrapText="1"/>
    </xf>
    <xf numFmtId="0" fontId="55" fillId="49" borderId="150" xfId="0" applyFont="1" applyFill="1" applyBorder="1" applyAlignment="1">
      <alignment horizontal="center" vertical="center"/>
    </xf>
    <xf numFmtId="0" fontId="58" fillId="49" borderId="150" xfId="0" applyFont="1" applyFill="1" applyBorder="1" applyAlignment="1">
      <alignment horizontal="center" vertical="center" wrapText="1"/>
    </xf>
    <xf numFmtId="0" fontId="58" fillId="49" borderId="50" xfId="0" applyFont="1" applyFill="1" applyBorder="1" applyAlignment="1">
      <alignment horizontal="center" vertical="center" wrapText="1"/>
    </xf>
    <xf numFmtId="0" fontId="58" fillId="49" borderId="51" xfId="0" applyFont="1" applyFill="1" applyBorder="1" applyAlignment="1">
      <alignment horizontal="center" vertical="center" wrapText="1"/>
    </xf>
    <xf numFmtId="0" fontId="55" fillId="49" borderId="51" xfId="0" applyFont="1" applyFill="1" applyBorder="1" applyAlignment="1">
      <alignment horizontal="center" vertical="center"/>
    </xf>
    <xf numFmtId="0" fontId="5" fillId="6" borderId="4" xfId="0" applyFont="1" applyFill="1" applyBorder="1" applyAlignment="1" applyProtection="1">
      <alignment vertical="center"/>
      <protection locked="0"/>
    </xf>
    <xf numFmtId="0" fontId="5" fillId="6" borderId="4" xfId="0" applyFont="1" applyFill="1" applyBorder="1" applyAlignment="1">
      <alignment vertical="center"/>
    </xf>
    <xf numFmtId="0" fontId="5" fillId="6" borderId="0" xfId="0" applyFont="1" applyFill="1" applyAlignment="1" applyProtection="1">
      <alignment horizontal="center" vertical="center"/>
      <protection locked="0"/>
    </xf>
    <xf numFmtId="0" fontId="5" fillId="6" borderId="0" xfId="0" applyFont="1" applyFill="1" applyAlignment="1" applyProtection="1">
      <alignment vertical="center"/>
      <protection locked="0"/>
    </xf>
    <xf numFmtId="0" fontId="33" fillId="25" borderId="57" xfId="0" applyFont="1" applyFill="1" applyBorder="1" applyAlignment="1">
      <alignment horizontal="center" vertical="center" wrapText="1"/>
    </xf>
    <xf numFmtId="0" fontId="36" fillId="28" borderId="4" xfId="0" applyFont="1" applyFill="1" applyBorder="1" applyAlignment="1">
      <alignment horizontal="center" vertical="center" wrapText="1"/>
    </xf>
    <xf numFmtId="0" fontId="36" fillId="25" borderId="57" xfId="0" applyFont="1" applyFill="1" applyBorder="1" applyAlignment="1">
      <alignment horizontal="center" vertical="center" wrapText="1"/>
    </xf>
    <xf numFmtId="0" fontId="26" fillId="27" borderId="50" xfId="0" applyFont="1" applyFill="1" applyBorder="1" applyAlignment="1">
      <alignment horizontal="left" vertical="center" wrapText="1"/>
    </xf>
    <xf numFmtId="0" fontId="31" fillId="0" borderId="4" xfId="0" applyFont="1" applyBorder="1"/>
    <xf numFmtId="0" fontId="26" fillId="0" borderId="42" xfId="0" applyFont="1" applyBorder="1" applyAlignment="1">
      <alignment horizontal="center" vertical="center" wrapText="1"/>
    </xf>
    <xf numFmtId="0" fontId="26" fillId="0" borderId="48" xfId="0" applyFont="1" applyBorder="1" applyAlignment="1">
      <alignment horizontal="center" vertical="center" wrapText="1"/>
    </xf>
    <xf numFmtId="0" fontId="23" fillId="12" borderId="13" xfId="3" applyFont="1" applyFill="1" applyBorder="1" applyAlignment="1">
      <alignment horizontal="center" vertical="center" wrapText="1"/>
    </xf>
    <xf numFmtId="0" fontId="65" fillId="24" borderId="42" xfId="3" applyFont="1" applyFill="1" applyBorder="1" applyAlignment="1">
      <alignment horizontal="center" vertical="center"/>
    </xf>
    <xf numFmtId="0" fontId="65" fillId="37" borderId="42" xfId="3" applyFont="1" applyFill="1" applyBorder="1" applyAlignment="1">
      <alignment horizontal="center" vertical="center"/>
    </xf>
    <xf numFmtId="0" fontId="41" fillId="24" borderId="57" xfId="3" applyFont="1" applyFill="1" applyBorder="1" applyAlignment="1">
      <alignment horizontal="center" vertical="center"/>
    </xf>
    <xf numFmtId="0" fontId="0" fillId="0" borderId="7" xfId="0" applyBorder="1"/>
    <xf numFmtId="0" fontId="41" fillId="24" borderId="78" xfId="3" applyFont="1" applyFill="1" applyBorder="1" applyAlignment="1">
      <alignment horizontal="center" vertical="center"/>
    </xf>
    <xf numFmtId="0" fontId="65" fillId="24" borderId="49" xfId="3" applyFont="1" applyFill="1" applyBorder="1" applyAlignment="1">
      <alignment horizontal="center" vertical="center"/>
    </xf>
    <xf numFmtId="0" fontId="65" fillId="24" borderId="44" xfId="3" applyFont="1" applyFill="1" applyBorder="1" applyAlignment="1">
      <alignment horizontal="center" vertical="center"/>
    </xf>
    <xf numFmtId="0" fontId="65" fillId="24" borderId="4" xfId="3" applyFont="1" applyFill="1" applyBorder="1" applyAlignment="1">
      <alignment horizontal="center" vertical="center"/>
    </xf>
    <xf numFmtId="0" fontId="65" fillId="24" borderId="4" xfId="3" applyFont="1" applyFill="1" applyBorder="1"/>
    <xf numFmtId="0" fontId="65" fillId="24" borderId="0" xfId="3" applyFont="1" applyFill="1"/>
    <xf numFmtId="0" fontId="23" fillId="35" borderId="57" xfId="3" applyFont="1" applyFill="1" applyBorder="1" applyAlignment="1">
      <alignment horizontal="center" vertical="center"/>
    </xf>
    <xf numFmtId="9" fontId="41" fillId="0" borderId="0" xfId="2" applyFont="1"/>
    <xf numFmtId="0" fontId="17" fillId="0" borderId="0" xfId="0" applyFont="1" applyAlignment="1">
      <alignment horizontal="center" vertical="center"/>
    </xf>
    <xf numFmtId="0" fontId="67" fillId="36" borderId="52" xfId="0" applyFont="1" applyFill="1" applyBorder="1" applyAlignment="1">
      <alignment horizontal="center" wrapText="1"/>
    </xf>
    <xf numFmtId="0" fontId="67" fillId="24" borderId="49" xfId="0" applyFont="1" applyFill="1" applyBorder="1"/>
    <xf numFmtId="9" fontId="27" fillId="0" borderId="0" xfId="2" applyFont="1"/>
    <xf numFmtId="0" fontId="0" fillId="0" borderId="0" xfId="0" pivotButton="1"/>
    <xf numFmtId="0" fontId="0" fillId="0" borderId="0" xfId="0" applyAlignment="1">
      <alignment horizontal="left"/>
    </xf>
    <xf numFmtId="9" fontId="5" fillId="0" borderId="0" xfId="0" applyNumberFormat="1" applyFont="1" applyAlignment="1" applyProtection="1">
      <alignment vertical="center"/>
      <protection locked="0"/>
    </xf>
    <xf numFmtId="9" fontId="8" fillId="0" borderId="13" xfId="2" applyFont="1" applyFill="1" applyBorder="1" applyAlignment="1" applyProtection="1">
      <alignment horizontal="center" vertical="center" wrapText="1"/>
      <protection locked="0"/>
    </xf>
    <xf numFmtId="0" fontId="8" fillId="0" borderId="4" xfId="0" applyFont="1" applyBorder="1" applyAlignment="1" applyProtection="1">
      <alignment horizontal="center" vertical="center" wrapText="1"/>
      <protection locked="0"/>
    </xf>
    <xf numFmtId="0" fontId="8" fillId="0" borderId="42" xfId="0" applyFont="1" applyBorder="1" applyAlignment="1" applyProtection="1">
      <alignment vertical="center" wrapText="1"/>
      <protection locked="0"/>
    </xf>
    <xf numFmtId="0" fontId="8" fillId="0" borderId="13" xfId="0" applyFont="1" applyBorder="1" applyAlignment="1" applyProtection="1">
      <alignment vertical="center" wrapText="1"/>
      <protection locked="0"/>
    </xf>
    <xf numFmtId="0" fontId="8" fillId="6" borderId="13" xfId="0" applyFont="1" applyFill="1" applyBorder="1" applyAlignment="1" applyProtection="1">
      <alignment vertical="center" wrapText="1"/>
      <protection locked="0"/>
    </xf>
    <xf numFmtId="0" fontId="8" fillId="0" borderId="13" xfId="0" applyFont="1" applyBorder="1" applyAlignment="1">
      <alignment horizontal="center" vertical="center" wrapText="1"/>
    </xf>
    <xf numFmtId="0" fontId="8" fillId="0" borderId="10" xfId="0" applyFont="1" applyBorder="1" applyAlignment="1" applyProtection="1">
      <alignment vertical="center" wrapText="1"/>
      <protection locked="0"/>
    </xf>
    <xf numFmtId="0" fontId="8" fillId="0" borderId="4" xfId="0" applyFont="1" applyBorder="1" applyAlignment="1" applyProtection="1">
      <alignment vertical="center" wrapText="1"/>
      <protection locked="0"/>
    </xf>
    <xf numFmtId="0" fontId="8" fillId="0" borderId="4" xfId="0" applyFont="1" applyBorder="1" applyAlignment="1" applyProtection="1">
      <alignment horizontal="left" vertical="center" wrapText="1"/>
      <protection locked="0"/>
    </xf>
    <xf numFmtId="0" fontId="8" fillId="6" borderId="4" xfId="0" applyFont="1" applyFill="1" applyBorder="1" applyAlignment="1" applyProtection="1">
      <alignment vertical="center" wrapText="1"/>
      <protection locked="0"/>
    </xf>
    <xf numFmtId="0" fontId="8" fillId="6" borderId="4" xfId="0" applyFont="1" applyFill="1" applyBorder="1" applyAlignment="1" applyProtection="1">
      <alignment horizontal="center" vertical="center" wrapText="1"/>
      <protection locked="0"/>
    </xf>
    <xf numFmtId="0" fontId="8" fillId="8" borderId="4" xfId="0" applyFont="1" applyFill="1" applyBorder="1" applyAlignment="1" applyProtection="1">
      <alignment vertical="center" wrapText="1"/>
      <protection locked="0"/>
    </xf>
    <xf numFmtId="1" fontId="8" fillId="0" borderId="4" xfId="1" applyNumberFormat="1" applyFont="1" applyFill="1" applyBorder="1" applyAlignment="1" applyProtection="1">
      <alignment horizontal="center" vertical="center" wrapText="1"/>
      <protection locked="0"/>
    </xf>
    <xf numFmtId="1" fontId="8" fillId="0" borderId="4" xfId="0" applyNumberFormat="1" applyFont="1" applyBorder="1" applyAlignment="1" applyProtection="1">
      <alignment horizontal="center" vertical="center" wrapText="1"/>
      <protection locked="0"/>
    </xf>
    <xf numFmtId="0" fontId="8" fillId="0" borderId="42" xfId="0" applyFont="1" applyBorder="1" applyAlignment="1" applyProtection="1">
      <alignment horizontal="center" vertical="center" wrapText="1"/>
      <protection locked="0"/>
    </xf>
    <xf numFmtId="1" fontId="8" fillId="0" borderId="42" xfId="2" applyNumberFormat="1" applyFont="1" applyFill="1" applyBorder="1" applyAlignment="1" applyProtection="1">
      <alignment horizontal="center" vertical="center" wrapText="1"/>
      <protection locked="0"/>
    </xf>
    <xf numFmtId="0" fontId="8" fillId="0" borderId="42" xfId="0" applyFont="1" applyBorder="1" applyAlignment="1" applyProtection="1">
      <alignment horizontal="left" vertical="center" wrapText="1"/>
      <protection locked="0"/>
    </xf>
    <xf numFmtId="0" fontId="8" fillId="0" borderId="13" xfId="0" applyFont="1" applyBorder="1" applyAlignment="1" applyProtection="1">
      <alignment horizontal="center" vertical="center" wrapText="1"/>
      <protection locked="0"/>
    </xf>
    <xf numFmtId="1" fontId="8" fillId="0" borderId="13" xfId="2" applyNumberFormat="1" applyFont="1" applyFill="1" applyBorder="1" applyAlignment="1" applyProtection="1">
      <alignment horizontal="center" vertical="center" wrapText="1"/>
      <protection locked="0"/>
    </xf>
    <xf numFmtId="0" fontId="8" fillId="0" borderId="13" xfId="0" applyFont="1" applyBorder="1" applyAlignment="1" applyProtection="1">
      <alignment horizontal="left" vertical="center" wrapText="1"/>
      <protection locked="0"/>
    </xf>
    <xf numFmtId="0" fontId="8" fillId="6" borderId="42"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center" vertical="center" wrapText="1"/>
      <protection locked="0"/>
    </xf>
    <xf numFmtId="1" fontId="8" fillId="6" borderId="4" xfId="2" applyNumberFormat="1" applyFont="1" applyFill="1" applyBorder="1" applyAlignment="1" applyProtection="1">
      <alignment horizontal="center" vertical="center" wrapText="1"/>
      <protection locked="0"/>
    </xf>
    <xf numFmtId="0" fontId="8" fillId="6" borderId="4" xfId="0" applyFont="1" applyFill="1" applyBorder="1" applyAlignment="1" applyProtection="1">
      <alignment horizontal="center" vertical="center"/>
      <protection locked="0"/>
    </xf>
    <xf numFmtId="9" fontId="8" fillId="6" borderId="4" xfId="2" applyFont="1" applyFill="1" applyBorder="1" applyAlignment="1" applyProtection="1">
      <alignment horizontal="center" vertical="center" wrapText="1"/>
      <protection locked="0"/>
    </xf>
    <xf numFmtId="1" fontId="8" fillId="6" borderId="13" xfId="2" applyNumberFormat="1" applyFont="1" applyFill="1" applyBorder="1" applyAlignment="1" applyProtection="1">
      <alignment horizontal="center" vertical="center" wrapText="1"/>
      <protection locked="0"/>
    </xf>
    <xf numFmtId="9" fontId="8" fillId="6" borderId="13" xfId="2" applyFont="1" applyFill="1" applyBorder="1" applyAlignment="1" applyProtection="1">
      <alignment horizontal="center" vertical="center" wrapText="1"/>
      <protection locked="0"/>
    </xf>
    <xf numFmtId="1" fontId="8" fillId="6" borderId="13" xfId="0" applyNumberFormat="1" applyFont="1" applyFill="1" applyBorder="1" applyAlignment="1" applyProtection="1">
      <alignment horizontal="center" vertical="center" wrapText="1"/>
      <protection locked="0"/>
    </xf>
    <xf numFmtId="9" fontId="8" fillId="6" borderId="13" xfId="0" applyNumberFormat="1" applyFont="1" applyFill="1" applyBorder="1" applyAlignment="1" applyProtection="1">
      <alignment horizontal="center" vertical="center" wrapText="1"/>
      <protection locked="0"/>
    </xf>
    <xf numFmtId="0" fontId="8" fillId="6" borderId="13" xfId="0" applyFont="1" applyFill="1" applyBorder="1" applyAlignment="1">
      <alignment horizontal="center" vertical="center" wrapText="1"/>
    </xf>
    <xf numFmtId="1" fontId="8" fillId="6" borderId="4" xfId="0" applyNumberFormat="1" applyFont="1" applyFill="1" applyBorder="1" applyAlignment="1" applyProtection="1">
      <alignment horizontal="center" vertical="center" wrapText="1"/>
      <protection locked="0"/>
    </xf>
    <xf numFmtId="9" fontId="8" fillId="6" borderId="4" xfId="0" applyNumberFormat="1" applyFont="1" applyFill="1" applyBorder="1" applyAlignment="1" applyProtection="1">
      <alignment horizontal="center" vertical="center" wrapText="1"/>
      <protection locked="0"/>
    </xf>
    <xf numFmtId="9" fontId="8" fillId="0" borderId="13" xfId="0" applyNumberFormat="1" applyFont="1" applyBorder="1" applyAlignment="1" applyProtection="1">
      <alignment horizontal="center" vertical="center" wrapText="1"/>
      <protection locked="0"/>
    </xf>
    <xf numFmtId="0" fontId="8" fillId="0" borderId="10" xfId="0" applyFont="1" applyBorder="1" applyAlignment="1" applyProtection="1">
      <alignment horizontal="center" vertical="center" wrapText="1"/>
      <protection locked="0"/>
    </xf>
    <xf numFmtId="9" fontId="8" fillId="0" borderId="10" xfId="0" applyNumberFormat="1" applyFont="1" applyBorder="1" applyAlignment="1" applyProtection="1">
      <alignment horizontal="center" vertical="center" wrapText="1"/>
      <protection locked="0"/>
    </xf>
    <xf numFmtId="0" fontId="8" fillId="6" borderId="4" xfId="0" applyFont="1" applyFill="1" applyBorder="1" applyAlignment="1">
      <alignment horizontal="center" vertical="center" wrapText="1"/>
    </xf>
    <xf numFmtId="0" fontId="8" fillId="0" borderId="4" xfId="0" applyFont="1" applyBorder="1" applyAlignment="1">
      <alignment horizontal="center" vertical="center" wrapText="1"/>
    </xf>
    <xf numFmtId="1" fontId="8" fillId="0" borderId="4" xfId="2" applyNumberFormat="1" applyFont="1" applyFill="1" applyBorder="1" applyAlignment="1" applyProtection="1">
      <alignment horizontal="center" vertical="center" wrapText="1"/>
      <protection locked="0"/>
    </xf>
    <xf numFmtId="9" fontId="8" fillId="0" borderId="4" xfId="2" applyFont="1" applyFill="1" applyBorder="1" applyAlignment="1" applyProtection="1">
      <alignment horizontal="center" vertical="center" wrapText="1"/>
      <protection locked="0"/>
    </xf>
    <xf numFmtId="9" fontId="8" fillId="0" borderId="4" xfId="0" applyNumberFormat="1" applyFont="1" applyBorder="1" applyAlignment="1">
      <alignment horizontal="center" vertical="center" wrapText="1"/>
    </xf>
    <xf numFmtId="9" fontId="8" fillId="0" borderId="4" xfId="2" applyFont="1" applyBorder="1" applyAlignment="1" applyProtection="1">
      <alignment horizontal="center" vertical="center"/>
      <protection locked="0"/>
    </xf>
    <xf numFmtId="0" fontId="8" fillId="0" borderId="4" xfId="0" applyFont="1" applyBorder="1" applyAlignment="1" applyProtection="1">
      <alignment horizontal="center" vertical="center"/>
      <protection locked="0"/>
    </xf>
    <xf numFmtId="0" fontId="8" fillId="8" borderId="4" xfId="0" applyFont="1" applyFill="1" applyBorder="1" applyAlignment="1">
      <alignment horizontal="center" vertical="center" wrapText="1"/>
    </xf>
    <xf numFmtId="0" fontId="8" fillId="0" borderId="4" xfId="0" applyFont="1" applyBorder="1" applyAlignment="1">
      <alignment horizontal="left" vertical="center" wrapText="1"/>
    </xf>
    <xf numFmtId="1" fontId="8" fillId="0" borderId="4" xfId="0" applyNumberFormat="1" applyFont="1" applyBorder="1" applyAlignment="1">
      <alignment horizontal="center" vertical="center" wrapText="1"/>
    </xf>
    <xf numFmtId="1" fontId="8" fillId="8" borderId="4" xfId="2" applyNumberFormat="1" applyFont="1" applyFill="1" applyBorder="1" applyAlignment="1" applyProtection="1">
      <alignment horizontal="center" vertical="center" wrapText="1"/>
      <protection locked="0"/>
    </xf>
    <xf numFmtId="0" fontId="8" fillId="8" borderId="4" xfId="0" applyFont="1" applyFill="1" applyBorder="1" applyAlignment="1" applyProtection="1">
      <alignment horizontal="center" vertical="center" wrapText="1"/>
      <protection locked="0"/>
    </xf>
    <xf numFmtId="0" fontId="8" fillId="0" borderId="4" xfId="3" applyFont="1" applyBorder="1" applyAlignment="1" applyProtection="1">
      <alignment horizontal="center" vertical="center" wrapText="1"/>
      <protection locked="0"/>
    </xf>
    <xf numFmtId="0" fontId="8" fillId="0" borderId="1" xfId="3" applyFont="1" applyBorder="1" applyAlignment="1" applyProtection="1">
      <alignment horizontal="center" vertical="center" wrapText="1"/>
      <protection locked="0"/>
    </xf>
    <xf numFmtId="0" fontId="8" fillId="0" borderId="4" xfId="2" applyNumberFormat="1" applyFont="1" applyFill="1" applyBorder="1" applyAlignment="1" applyProtection="1">
      <alignment horizontal="center" vertical="center" wrapText="1"/>
      <protection locked="0"/>
    </xf>
    <xf numFmtId="9" fontId="5" fillId="30" borderId="4" xfId="0" applyNumberFormat="1" applyFont="1" applyFill="1" applyBorder="1" applyAlignment="1" applyProtection="1">
      <alignment vertical="center"/>
      <protection locked="0"/>
    </xf>
    <xf numFmtId="0" fontId="5" fillId="30" borderId="4" xfId="0" applyFont="1" applyFill="1" applyBorder="1" applyAlignment="1" applyProtection="1">
      <alignment vertical="center"/>
      <protection locked="0"/>
    </xf>
    <xf numFmtId="0" fontId="5" fillId="30" borderId="4" xfId="0" applyFont="1" applyFill="1" applyBorder="1" applyAlignment="1" applyProtection="1">
      <alignment vertical="center" wrapText="1"/>
      <protection locked="0"/>
    </xf>
    <xf numFmtId="0" fontId="5" fillId="30" borderId="4" xfId="0" applyFont="1" applyFill="1" applyBorder="1" applyAlignment="1" applyProtection="1">
      <alignment horizontal="center" vertical="center" wrapText="1"/>
      <protection locked="0"/>
    </xf>
    <xf numFmtId="9" fontId="5" fillId="63" borderId="13" xfId="0" applyNumberFormat="1" applyFont="1" applyFill="1" applyBorder="1" applyAlignment="1" applyProtection="1">
      <alignment vertical="center"/>
      <protection locked="0"/>
    </xf>
    <xf numFmtId="0" fontId="5" fillId="30" borderId="13" xfId="0" applyFont="1" applyFill="1" applyBorder="1" applyAlignment="1" applyProtection="1">
      <alignment vertical="center"/>
      <protection locked="0"/>
    </xf>
    <xf numFmtId="0" fontId="5" fillId="30" borderId="13" xfId="0" applyFont="1" applyFill="1" applyBorder="1" applyAlignment="1" applyProtection="1">
      <alignment vertical="center" wrapText="1"/>
      <protection locked="0"/>
    </xf>
    <xf numFmtId="0" fontId="5" fillId="30" borderId="13" xfId="0" applyFont="1" applyFill="1" applyBorder="1" applyAlignment="1" applyProtection="1">
      <alignment horizontal="center" vertical="center"/>
      <protection locked="0"/>
    </xf>
    <xf numFmtId="9" fontId="5" fillId="30" borderId="13" xfId="2" applyFont="1" applyFill="1" applyBorder="1" applyAlignment="1" applyProtection="1">
      <alignment horizontal="center" vertical="center"/>
      <protection locked="0"/>
    </xf>
    <xf numFmtId="0" fontId="5" fillId="30" borderId="13" xfId="0" applyFont="1" applyFill="1" applyBorder="1" applyAlignment="1" applyProtection="1">
      <alignment horizontal="center" vertical="center" wrapText="1"/>
      <protection locked="0"/>
    </xf>
    <xf numFmtId="0" fontId="5" fillId="30" borderId="13" xfId="0" applyFont="1" applyFill="1" applyBorder="1" applyAlignment="1" applyProtection="1">
      <alignment horizontal="left" vertical="center" wrapText="1"/>
      <protection locked="0"/>
    </xf>
    <xf numFmtId="9" fontId="5" fillId="30" borderId="13" xfId="0" applyNumberFormat="1" applyFont="1" applyFill="1" applyBorder="1" applyAlignment="1" applyProtection="1">
      <alignment horizontal="center" vertical="center"/>
      <protection locked="0"/>
    </xf>
    <xf numFmtId="9" fontId="5" fillId="30" borderId="13" xfId="0" applyNumberFormat="1" applyFont="1" applyFill="1" applyBorder="1" applyAlignment="1" applyProtection="1">
      <alignment horizontal="center" vertical="center" wrapText="1"/>
      <protection locked="0"/>
    </xf>
    <xf numFmtId="9" fontId="8" fillId="30" borderId="13" xfId="0" applyNumberFormat="1" applyFont="1" applyFill="1" applyBorder="1" applyAlignment="1" applyProtection="1">
      <alignment horizontal="center" vertical="center"/>
      <protection locked="0"/>
    </xf>
    <xf numFmtId="0" fontId="5" fillId="30" borderId="13" xfId="0" applyFont="1" applyFill="1" applyBorder="1" applyAlignment="1" applyProtection="1">
      <alignment horizontal="left" vertical="center"/>
      <protection locked="0"/>
    </xf>
    <xf numFmtId="9" fontId="8" fillId="30" borderId="13" xfId="2" applyFont="1" applyFill="1" applyBorder="1" applyAlignment="1" applyProtection="1">
      <alignment horizontal="center" vertical="center"/>
      <protection locked="0"/>
    </xf>
    <xf numFmtId="0" fontId="60" fillId="0" borderId="1" xfId="3" applyFont="1" applyBorder="1" applyAlignment="1">
      <alignment horizontal="center" vertical="center" wrapText="1"/>
    </xf>
    <xf numFmtId="9" fontId="5" fillId="0" borderId="13" xfId="0" applyNumberFormat="1" applyFont="1" applyBorder="1" applyAlignment="1" applyProtection="1">
      <alignment vertical="center"/>
      <protection locked="0"/>
    </xf>
    <xf numFmtId="9" fontId="9" fillId="0" borderId="4" xfId="0" applyNumberFormat="1" applyFont="1" applyBorder="1" applyAlignment="1" applyProtection="1">
      <alignment vertical="center"/>
      <protection locked="0"/>
    </xf>
    <xf numFmtId="0" fontId="9" fillId="0" borderId="4" xfId="0" applyFont="1" applyBorder="1" applyAlignment="1" applyProtection="1">
      <alignment horizontal="center" vertical="center"/>
      <protection locked="0"/>
    </xf>
    <xf numFmtId="0" fontId="9" fillId="0" borderId="4" xfId="0" applyFont="1" applyBorder="1" applyAlignment="1">
      <alignment horizontal="center" vertical="center"/>
    </xf>
    <xf numFmtId="0" fontId="9" fillId="0" borderId="0" xfId="0" applyFont="1" applyAlignment="1" applyProtection="1">
      <alignment horizontal="center" vertical="center"/>
      <protection locked="0"/>
    </xf>
    <xf numFmtId="9" fontId="9" fillId="0" borderId="0" xfId="0" applyNumberFormat="1" applyFont="1" applyAlignment="1" applyProtection="1">
      <alignment vertical="center"/>
      <protection locked="0"/>
    </xf>
    <xf numFmtId="0" fontId="5" fillId="0" borderId="4" xfId="0" applyFont="1" applyBorder="1" applyAlignment="1" applyProtection="1">
      <alignment horizontal="center" vertical="center" wrapText="1"/>
      <protection locked="0"/>
    </xf>
    <xf numFmtId="0" fontId="0" fillId="2" borderId="4" xfId="0" applyFill="1" applyBorder="1" applyAlignment="1">
      <alignment horizontal="center" vertical="center"/>
    </xf>
    <xf numFmtId="0" fontId="0" fillId="0" borderId="4" xfId="0" applyBorder="1" applyAlignment="1">
      <alignment horizontal="center" vertical="center"/>
    </xf>
    <xf numFmtId="0" fontId="4" fillId="4" borderId="151" xfId="3" applyFont="1" applyFill="1" applyBorder="1" applyAlignment="1" applyProtection="1">
      <alignment horizontal="center" vertical="center" wrapText="1"/>
      <protection locked="0"/>
    </xf>
    <xf numFmtId="0" fontId="5" fillId="0" borderId="4" xfId="0" applyFont="1" applyBorder="1" applyAlignment="1" applyProtection="1">
      <alignment vertical="center" wrapText="1"/>
      <protection locked="0"/>
    </xf>
    <xf numFmtId="0" fontId="5" fillId="0" borderId="4" xfId="0" applyFont="1" applyBorder="1" applyAlignment="1" applyProtection="1">
      <alignment horizontal="left" vertical="center" wrapText="1"/>
      <protection locked="0"/>
    </xf>
    <xf numFmtId="49" fontId="5" fillId="0" borderId="4" xfId="0" applyNumberFormat="1" applyFont="1" applyBorder="1" applyAlignment="1" applyProtection="1">
      <alignment horizontal="left" vertical="center" wrapText="1"/>
      <protection locked="0"/>
    </xf>
    <xf numFmtId="9" fontId="5" fillId="0" borderId="4" xfId="2" applyFont="1" applyFill="1" applyBorder="1" applyAlignment="1" applyProtection="1">
      <alignment horizontal="center" vertical="center" wrapText="1"/>
      <protection locked="0"/>
    </xf>
    <xf numFmtId="0" fontId="8" fillId="6" borderId="4" xfId="2" applyNumberFormat="1" applyFont="1" applyFill="1" applyBorder="1" applyAlignment="1" applyProtection="1">
      <alignment horizontal="center" vertical="center" wrapText="1"/>
      <protection locked="0"/>
    </xf>
    <xf numFmtId="1" fontId="68" fillId="0" borderId="4" xfId="2" applyNumberFormat="1" applyFont="1" applyFill="1" applyBorder="1" applyAlignment="1" applyProtection="1">
      <alignment horizontal="center" vertical="center" wrapText="1"/>
      <protection locked="0"/>
    </xf>
    <xf numFmtId="9" fontId="68" fillId="0" borderId="4" xfId="2" applyFont="1" applyFill="1" applyBorder="1" applyAlignment="1" applyProtection="1">
      <alignment horizontal="center" vertical="center" wrapText="1"/>
      <protection locked="0"/>
    </xf>
    <xf numFmtId="9" fontId="68" fillId="0" borderId="1" xfId="2" applyFont="1" applyFill="1" applyBorder="1" applyAlignment="1" applyProtection="1">
      <alignment horizontal="center" vertical="center" wrapText="1"/>
      <protection locked="0"/>
    </xf>
    <xf numFmtId="9" fontId="68" fillId="6" borderId="4" xfId="2" applyFont="1" applyFill="1" applyBorder="1" applyAlignment="1" applyProtection="1">
      <alignment horizontal="center" vertical="center" wrapText="1"/>
      <protection locked="0"/>
    </xf>
    <xf numFmtId="1" fontId="5" fillId="0" borderId="4" xfId="2" applyNumberFormat="1" applyFont="1" applyFill="1" applyBorder="1" applyAlignment="1" applyProtection="1">
      <alignment horizontal="center" vertical="center" wrapText="1"/>
      <protection locked="0"/>
    </xf>
    <xf numFmtId="9" fontId="68" fillId="0" borderId="42" xfId="0" applyNumberFormat="1" applyFont="1" applyBorder="1" applyAlignment="1">
      <alignment horizontal="center" vertical="center" wrapText="1"/>
    </xf>
    <xf numFmtId="9" fontId="68" fillId="0" borderId="49" xfId="0" applyNumberFormat="1" applyFont="1" applyBorder="1" applyAlignment="1">
      <alignment horizontal="center" vertical="center" wrapText="1"/>
    </xf>
    <xf numFmtId="9" fontId="68" fillId="0" borderId="13" xfId="2" applyFont="1" applyFill="1" applyBorder="1" applyAlignment="1" applyProtection="1">
      <alignment horizontal="center" vertical="center" wrapText="1"/>
      <protection locked="0"/>
    </xf>
    <xf numFmtId="9" fontId="68" fillId="0" borderId="13" xfId="0" applyNumberFormat="1" applyFont="1" applyBorder="1" applyAlignment="1">
      <alignment horizontal="center" vertical="center" wrapText="1"/>
    </xf>
    <xf numFmtId="9" fontId="68" fillId="6" borderId="13" xfId="2" applyFont="1" applyFill="1" applyBorder="1" applyAlignment="1" applyProtection="1">
      <alignment horizontal="center" vertical="center" wrapText="1"/>
      <protection locked="0"/>
    </xf>
    <xf numFmtId="9" fontId="68" fillId="0" borderId="10" xfId="2" applyFont="1" applyFill="1" applyBorder="1" applyAlignment="1" applyProtection="1">
      <alignment horizontal="center" vertical="center" wrapText="1"/>
      <protection locked="0"/>
    </xf>
    <xf numFmtId="9" fontId="68" fillId="0" borderId="5" xfId="2" applyFont="1" applyFill="1" applyBorder="1" applyAlignment="1" applyProtection="1">
      <alignment horizontal="center" vertical="center" wrapText="1"/>
      <protection locked="0"/>
    </xf>
    <xf numFmtId="9" fontId="68" fillId="0" borderId="4" xfId="0" applyNumberFormat="1" applyFont="1" applyBorder="1" applyAlignment="1">
      <alignment horizontal="center" vertical="center" wrapText="1"/>
    </xf>
    <xf numFmtId="9" fontId="68" fillId="8" borderId="4" xfId="2" applyFont="1" applyFill="1" applyBorder="1" applyAlignment="1" applyProtection="1">
      <alignment horizontal="center" vertical="center" wrapText="1"/>
      <protection locked="0"/>
    </xf>
    <xf numFmtId="9" fontId="68" fillId="8" borderId="1" xfId="2" applyFont="1" applyFill="1" applyBorder="1" applyAlignment="1" applyProtection="1">
      <alignment horizontal="center" vertical="center" wrapText="1"/>
      <protection locked="0"/>
    </xf>
    <xf numFmtId="9" fontId="68" fillId="6" borderId="1" xfId="2" applyFont="1" applyFill="1" applyBorder="1" applyAlignment="1" applyProtection="1">
      <alignment horizontal="center" vertical="center" wrapText="1"/>
      <protection locked="0"/>
    </xf>
    <xf numFmtId="9" fontId="68" fillId="0" borderId="4" xfId="0" applyNumberFormat="1" applyFont="1" applyBorder="1" applyAlignment="1" applyProtection="1">
      <alignment horizontal="center" vertical="center"/>
      <protection locked="0"/>
    </xf>
    <xf numFmtId="9" fontId="68" fillId="62" borderId="4" xfId="0" applyNumberFormat="1" applyFont="1" applyFill="1" applyBorder="1" applyAlignment="1">
      <alignment horizontal="center" vertical="center" wrapText="1"/>
    </xf>
    <xf numFmtId="9" fontId="68" fillId="62" borderId="3" xfId="0" applyNumberFormat="1" applyFont="1" applyFill="1" applyBorder="1" applyAlignment="1">
      <alignment horizontal="center" vertical="center" wrapText="1"/>
    </xf>
    <xf numFmtId="9" fontId="68" fillId="0" borderId="52" xfId="0" applyNumberFormat="1" applyFont="1" applyBorder="1" applyAlignment="1">
      <alignment horizontal="center" vertical="center" wrapText="1"/>
    </xf>
    <xf numFmtId="9" fontId="68" fillId="6" borderId="42" xfId="0" applyNumberFormat="1" applyFont="1" applyFill="1" applyBorder="1" applyAlignment="1">
      <alignment horizontal="center" vertical="center" wrapText="1"/>
    </xf>
    <xf numFmtId="9" fontId="68" fillId="6" borderId="49" xfId="0" applyNumberFormat="1" applyFont="1" applyFill="1" applyBorder="1" applyAlignment="1">
      <alignment horizontal="center" vertical="center" wrapText="1"/>
    </xf>
    <xf numFmtId="0" fontId="68" fillId="6" borderId="42" xfId="0" applyFont="1" applyFill="1" applyBorder="1" applyAlignment="1">
      <alignment horizontal="center" vertical="center" wrapText="1"/>
    </xf>
    <xf numFmtId="0" fontId="68" fillId="6" borderId="49" xfId="0" applyFont="1" applyFill="1" applyBorder="1" applyAlignment="1">
      <alignment horizontal="center" vertical="center" wrapText="1"/>
    </xf>
    <xf numFmtId="9" fontId="68" fillId="0" borderId="3" xfId="0" applyNumberFormat="1" applyFont="1" applyBorder="1" applyAlignment="1">
      <alignment horizontal="center" vertical="center" wrapText="1"/>
    </xf>
    <xf numFmtId="9" fontId="68" fillId="0" borderId="11" xfId="0" applyNumberFormat="1" applyFont="1" applyBorder="1" applyAlignment="1">
      <alignment horizontal="center" vertical="center" wrapText="1"/>
    </xf>
    <xf numFmtId="0" fontId="8" fillId="64" borderId="13" xfId="0" applyFont="1" applyFill="1" applyBorder="1" applyAlignment="1" applyProtection="1">
      <alignment vertical="center" wrapText="1"/>
      <protection locked="0"/>
    </xf>
    <xf numFmtId="0" fontId="8" fillId="64" borderId="13" xfId="0" applyFont="1" applyFill="1" applyBorder="1" applyAlignment="1" applyProtection="1">
      <alignment horizontal="center" vertical="center" wrapText="1"/>
      <protection locked="0"/>
    </xf>
    <xf numFmtId="0" fontId="8" fillId="64" borderId="42" xfId="0" applyFont="1" applyFill="1" applyBorder="1" applyAlignment="1" applyProtection="1">
      <alignment horizontal="center" vertical="center" wrapText="1"/>
      <protection locked="0"/>
    </xf>
    <xf numFmtId="9" fontId="8" fillId="64" borderId="13" xfId="2" applyFont="1" applyFill="1" applyBorder="1" applyAlignment="1" applyProtection="1">
      <alignment horizontal="center" vertical="center" wrapText="1"/>
      <protection locked="0"/>
    </xf>
    <xf numFmtId="0" fontId="8" fillId="64" borderId="13" xfId="0" applyFont="1" applyFill="1" applyBorder="1" applyAlignment="1" applyProtection="1">
      <alignment horizontal="left" vertical="center" wrapText="1"/>
      <protection locked="0"/>
    </xf>
    <xf numFmtId="9" fontId="68" fillId="64" borderId="13" xfId="2" applyFont="1" applyFill="1" applyBorder="1" applyAlignment="1" applyProtection="1">
      <alignment horizontal="center" vertical="center" wrapText="1"/>
      <protection locked="0"/>
    </xf>
    <xf numFmtId="1" fontId="8" fillId="64" borderId="13" xfId="2" applyNumberFormat="1" applyFont="1" applyFill="1" applyBorder="1" applyAlignment="1" applyProtection="1">
      <alignment horizontal="center" vertical="center" wrapText="1"/>
      <protection locked="0"/>
    </xf>
    <xf numFmtId="0" fontId="8" fillId="64" borderId="13" xfId="2" applyNumberFormat="1" applyFont="1" applyFill="1" applyBorder="1" applyAlignment="1" applyProtection="1">
      <alignment horizontal="center" vertical="center" wrapText="1"/>
      <protection locked="0"/>
    </xf>
    <xf numFmtId="0" fontId="0" fillId="0" borderId="0" xfId="0" applyAlignment="1">
      <alignment vertical="center"/>
    </xf>
    <xf numFmtId="0" fontId="0" fillId="2" borderId="4" xfId="0" applyFill="1" applyBorder="1" applyAlignment="1">
      <alignment vertical="center"/>
    </xf>
    <xf numFmtId="0" fontId="0" fillId="2" borderId="1" xfId="0" applyFill="1" applyBorder="1" applyAlignment="1">
      <alignment vertical="center"/>
    </xf>
    <xf numFmtId="0" fontId="0" fillId="2" borderId="13" xfId="0" applyFill="1" applyBorder="1" applyAlignment="1">
      <alignment vertical="center"/>
    </xf>
    <xf numFmtId="0" fontId="0" fillId="0" borderId="4" xfId="0" applyBorder="1" applyAlignment="1">
      <alignment vertical="center"/>
    </xf>
    <xf numFmtId="165" fontId="14" fillId="0" borderId="4" xfId="1" applyNumberFormat="1" applyFont="1" applyBorder="1" applyAlignment="1">
      <alignment vertical="center"/>
    </xf>
    <xf numFmtId="165" fontId="14" fillId="0" borderId="10" xfId="1" applyNumberFormat="1" applyFont="1" applyBorder="1" applyAlignment="1">
      <alignment vertical="center"/>
    </xf>
    <xf numFmtId="165" fontId="14" fillId="0" borderId="0" xfId="1" applyNumberFormat="1" applyFont="1" applyAlignment="1">
      <alignment vertical="center"/>
    </xf>
    <xf numFmtId="43" fontId="14" fillId="0" borderId="0" xfId="1" applyFont="1" applyAlignment="1">
      <alignment vertical="center"/>
    </xf>
    <xf numFmtId="0" fontId="4" fillId="4" borderId="152" xfId="3" applyFont="1" applyFill="1" applyBorder="1" applyAlignment="1" applyProtection="1">
      <alignment horizontal="center" vertical="center" wrapText="1"/>
      <protection locked="0"/>
    </xf>
    <xf numFmtId="0" fontId="8" fillId="62" borderId="4" xfId="0" applyFont="1" applyFill="1" applyBorder="1" applyAlignment="1">
      <alignment vertical="center" wrapText="1"/>
    </xf>
    <xf numFmtId="0" fontId="8" fillId="6" borderId="4" xfId="0" applyFont="1" applyFill="1" applyBorder="1" applyAlignment="1">
      <alignment vertical="center" wrapText="1"/>
    </xf>
    <xf numFmtId="0" fontId="8" fillId="62" borderId="3" xfId="0" applyFont="1" applyFill="1" applyBorder="1" applyAlignment="1">
      <alignment vertical="center" wrapText="1"/>
    </xf>
    <xf numFmtId="0" fontId="8" fillId="0" borderId="52" xfId="0" applyFont="1" applyBorder="1" applyAlignment="1">
      <alignment vertical="center" wrapText="1"/>
    </xf>
    <xf numFmtId="9" fontId="8" fillId="0" borderId="13" xfId="0" applyNumberFormat="1" applyFont="1" applyBorder="1" applyAlignment="1">
      <alignment horizontal="center" vertical="center" wrapText="1"/>
    </xf>
    <xf numFmtId="0" fontId="8" fillId="6" borderId="42" xfId="0" applyFont="1" applyFill="1" applyBorder="1" applyAlignment="1">
      <alignment horizontal="center" vertical="center" wrapText="1"/>
    </xf>
    <xf numFmtId="0" fontId="8" fillId="6" borderId="49" xfId="0" applyFont="1" applyFill="1" applyBorder="1" applyAlignment="1">
      <alignment vertical="center" wrapText="1"/>
    </xf>
    <xf numFmtId="9" fontId="8" fillId="6" borderId="42" xfId="0" applyNumberFormat="1" applyFont="1" applyFill="1" applyBorder="1" applyAlignment="1">
      <alignment horizontal="center" vertical="center" wrapText="1"/>
    </xf>
    <xf numFmtId="0" fontId="8" fillId="0" borderId="52" xfId="0" applyFont="1" applyBorder="1" applyAlignment="1">
      <alignment horizontal="center" vertical="center" wrapText="1"/>
    </xf>
    <xf numFmtId="0" fontId="8" fillId="0" borderId="13" xfId="0" applyFont="1" applyBorder="1" applyAlignment="1">
      <alignment vertical="center" wrapText="1"/>
    </xf>
    <xf numFmtId="9" fontId="8" fillId="0" borderId="52" xfId="0" applyNumberFormat="1" applyFont="1" applyBorder="1" applyAlignment="1">
      <alignment horizontal="center" vertical="center" wrapText="1"/>
    </xf>
    <xf numFmtId="0" fontId="8" fillId="0" borderId="3" xfId="0" applyFont="1" applyBorder="1" applyAlignment="1">
      <alignment vertical="center" wrapText="1"/>
    </xf>
    <xf numFmtId="0" fontId="8" fillId="0" borderId="11" xfId="0" applyFont="1" applyBorder="1" applyAlignment="1">
      <alignment vertical="center" wrapText="1"/>
    </xf>
    <xf numFmtId="0" fontId="5" fillId="9" borderId="0" xfId="0" applyFont="1" applyFill="1" applyAlignment="1" applyProtection="1">
      <alignment vertical="center"/>
      <protection locked="0"/>
    </xf>
    <xf numFmtId="0" fontId="5" fillId="0" borderId="10" xfId="0" applyFont="1" applyBorder="1" applyAlignment="1">
      <alignment vertical="center"/>
    </xf>
    <xf numFmtId="165" fontId="14" fillId="0" borderId="4" xfId="1" applyNumberFormat="1" applyFont="1" applyBorder="1" applyAlignment="1">
      <alignment horizontal="center" vertical="center"/>
    </xf>
    <xf numFmtId="0" fontId="8" fillId="62" borderId="3" xfId="0" applyFont="1" applyFill="1" applyBorder="1" applyAlignment="1">
      <alignment horizontal="center" vertical="center" wrapText="1"/>
    </xf>
    <xf numFmtId="0" fontId="8" fillId="0" borderId="52" xfId="0" applyFont="1" applyBorder="1" applyAlignment="1">
      <alignment horizontal="center" vertical="center"/>
    </xf>
    <xf numFmtId="0" fontId="8" fillId="6" borderId="49" xfId="0" applyFont="1" applyFill="1" applyBorder="1" applyAlignment="1">
      <alignment horizontal="center" vertical="center" wrapText="1"/>
    </xf>
    <xf numFmtId="0" fontId="8" fillId="0" borderId="13" xfId="0" applyFont="1" applyBorder="1" applyAlignment="1" applyProtection="1">
      <alignment horizontal="center" vertical="center"/>
      <protection locked="0"/>
    </xf>
    <xf numFmtId="0" fontId="8" fillId="0" borderId="3" xfId="0" applyFont="1" applyBorder="1" applyAlignment="1">
      <alignment horizontal="center" vertical="center" wrapText="1"/>
    </xf>
    <xf numFmtId="0" fontId="8" fillId="0" borderId="11" xfId="0" applyFont="1" applyBorder="1" applyAlignment="1">
      <alignment horizontal="center" vertical="center" wrapText="1"/>
    </xf>
    <xf numFmtId="165" fontId="14" fillId="0" borderId="4" xfId="1" applyNumberFormat="1" applyFont="1" applyBorder="1" applyAlignment="1">
      <alignment horizontal="left" vertical="center"/>
    </xf>
    <xf numFmtId="0" fontId="8" fillId="62" borderId="3" xfId="0" applyFont="1" applyFill="1" applyBorder="1" applyAlignment="1">
      <alignment horizontal="left" vertical="center" wrapText="1"/>
    </xf>
    <xf numFmtId="0" fontId="8" fillId="6" borderId="4" xfId="0" applyFont="1" applyFill="1" applyBorder="1" applyAlignment="1" applyProtection="1">
      <alignment horizontal="left" vertical="center" wrapText="1"/>
      <protection locked="0"/>
    </xf>
    <xf numFmtId="0" fontId="8" fillId="64" borderId="4" xfId="0" applyFont="1" applyFill="1" applyBorder="1" applyAlignment="1" applyProtection="1">
      <alignment horizontal="left" vertical="center" wrapText="1"/>
      <protection locked="0"/>
    </xf>
    <xf numFmtId="0" fontId="8" fillId="6" borderId="13" xfId="0" applyFont="1" applyFill="1" applyBorder="1" applyAlignment="1" applyProtection="1">
      <alignment horizontal="left" vertical="center" wrapText="1"/>
      <protection locked="0"/>
    </xf>
    <xf numFmtId="0" fontId="8" fillId="0" borderId="52" xfId="0" applyFont="1" applyBorder="1" applyAlignment="1">
      <alignment horizontal="left" vertical="center" wrapText="1"/>
    </xf>
    <xf numFmtId="0" fontId="8" fillId="6" borderId="49" xfId="0" applyFont="1" applyFill="1" applyBorder="1" applyAlignment="1">
      <alignment horizontal="left" vertical="center" wrapText="1"/>
    </xf>
    <xf numFmtId="0" fontId="8" fillId="0" borderId="13" xfId="0" applyFont="1" applyBorder="1" applyAlignment="1">
      <alignment horizontal="left" vertical="center" wrapText="1"/>
    </xf>
    <xf numFmtId="0" fontId="8" fillId="0" borderId="10" xfId="0" applyFont="1" applyBorder="1" applyAlignment="1" applyProtection="1">
      <alignment horizontal="left" vertical="center" wrapText="1"/>
      <protection locked="0"/>
    </xf>
    <xf numFmtId="0" fontId="8" fillId="0" borderId="3" xfId="0" applyFont="1" applyBorder="1" applyAlignment="1">
      <alignment horizontal="left" vertical="center" wrapText="1"/>
    </xf>
    <xf numFmtId="0" fontId="8" fillId="0" borderId="11" xfId="0" applyFont="1" applyBorder="1" applyAlignment="1">
      <alignment horizontal="left" vertical="center" wrapText="1"/>
    </xf>
    <xf numFmtId="0" fontId="8" fillId="8" borderId="0" xfId="0" applyFont="1" applyFill="1" applyAlignment="1">
      <alignment horizontal="left" vertical="center" wrapText="1"/>
    </xf>
    <xf numFmtId="0" fontId="8" fillId="8" borderId="4" xfId="0" applyFont="1" applyFill="1" applyBorder="1" applyAlignment="1" applyProtection="1">
      <alignment horizontal="left" vertical="center" wrapText="1"/>
      <protection locked="0"/>
    </xf>
    <xf numFmtId="0" fontId="8" fillId="8" borderId="1" xfId="0" applyFont="1" applyFill="1" applyBorder="1" applyAlignment="1" applyProtection="1">
      <alignment horizontal="left" vertical="center" wrapText="1"/>
      <protection locked="0"/>
    </xf>
    <xf numFmtId="0" fontId="8" fillId="0" borderId="4" xfId="3" applyFont="1" applyBorder="1" applyAlignment="1" applyProtection="1">
      <alignment horizontal="left" vertical="center" wrapText="1"/>
      <protection locked="0"/>
    </xf>
    <xf numFmtId="1" fontId="8" fillId="0" borderId="4" xfId="2" applyNumberFormat="1" applyFont="1" applyFill="1" applyBorder="1" applyAlignment="1" applyProtection="1">
      <alignment horizontal="left" vertical="center" wrapText="1"/>
      <protection locked="0"/>
    </xf>
    <xf numFmtId="9" fontId="8" fillId="62" borderId="3" xfId="0" applyNumberFormat="1" applyFont="1" applyFill="1" applyBorder="1" applyAlignment="1">
      <alignment horizontal="center" vertical="center" wrapText="1"/>
    </xf>
    <xf numFmtId="0" fontId="8" fillId="0" borderId="10" xfId="0" applyFont="1" applyBorder="1" applyAlignment="1">
      <alignment horizontal="center" vertical="center" wrapText="1"/>
    </xf>
    <xf numFmtId="9" fontId="68" fillId="0" borderId="14" xfId="0" applyNumberFormat="1" applyFont="1" applyBorder="1" applyAlignment="1">
      <alignment horizontal="center" vertical="center" wrapText="1"/>
    </xf>
    <xf numFmtId="0" fontId="3" fillId="0" borderId="4" xfId="3" applyFont="1" applyBorder="1" applyAlignment="1">
      <alignment horizontal="center" vertical="center" wrapText="1"/>
    </xf>
    <xf numFmtId="9" fontId="68" fillId="0" borderId="50" xfId="2" applyFont="1" applyFill="1" applyBorder="1" applyAlignment="1" applyProtection="1">
      <alignment horizontal="center" vertical="center" wrapText="1"/>
      <protection locked="0"/>
    </xf>
    <xf numFmtId="9" fontId="68" fillId="0" borderId="50" xfId="0" applyNumberFormat="1" applyFont="1" applyBorder="1" applyAlignment="1">
      <alignment horizontal="center" vertical="center" wrapText="1"/>
    </xf>
    <xf numFmtId="9" fontId="68" fillId="62" borderId="2" xfId="0" applyNumberFormat="1" applyFont="1" applyFill="1" applyBorder="1" applyAlignment="1">
      <alignment horizontal="center" vertical="center" wrapText="1"/>
    </xf>
    <xf numFmtId="9" fontId="68" fillId="64" borderId="50" xfId="2" applyFont="1" applyFill="1" applyBorder="1" applyAlignment="1" applyProtection="1">
      <alignment horizontal="center" vertical="center" wrapText="1"/>
      <protection locked="0"/>
    </xf>
    <xf numFmtId="9" fontId="68" fillId="6" borderId="50" xfId="2" applyFont="1" applyFill="1" applyBorder="1" applyAlignment="1" applyProtection="1">
      <alignment horizontal="center" vertical="center" wrapText="1"/>
      <protection locked="0"/>
    </xf>
    <xf numFmtId="9" fontId="68" fillId="0" borderId="51" xfId="0" applyNumberFormat="1" applyFont="1" applyBorder="1" applyAlignment="1">
      <alignment horizontal="center" vertical="center" wrapText="1"/>
    </xf>
    <xf numFmtId="9" fontId="68" fillId="6" borderId="14" xfId="0" applyNumberFormat="1" applyFont="1" applyFill="1" applyBorder="1" applyAlignment="1">
      <alignment horizontal="center" vertical="center" wrapText="1"/>
    </xf>
    <xf numFmtId="9" fontId="68" fillId="0" borderId="1" xfId="0" applyNumberFormat="1" applyFont="1" applyBorder="1" applyAlignment="1">
      <alignment horizontal="center" vertical="center" wrapText="1"/>
    </xf>
    <xf numFmtId="9" fontId="68" fillId="0" borderId="2" xfId="0" applyNumberFormat="1" applyFont="1" applyBorder="1" applyAlignment="1">
      <alignment horizontal="center" vertical="center" wrapText="1"/>
    </xf>
    <xf numFmtId="9" fontId="68" fillId="0" borderId="6" xfId="0" applyNumberFormat="1" applyFont="1" applyBorder="1" applyAlignment="1">
      <alignment horizontal="center" vertical="center" wrapText="1"/>
    </xf>
    <xf numFmtId="0" fontId="60" fillId="0" borderId="4" xfId="3" applyFont="1" applyBorder="1" applyAlignment="1">
      <alignment horizontal="center" vertical="center" wrapText="1"/>
    </xf>
    <xf numFmtId="0" fontId="3" fillId="3" borderId="4" xfId="3" applyFont="1" applyFill="1" applyBorder="1" applyAlignment="1">
      <alignment horizontal="center" vertical="center" wrapText="1"/>
    </xf>
    <xf numFmtId="0" fontId="60" fillId="3" borderId="4" xfId="3" applyFont="1" applyFill="1" applyBorder="1" applyAlignment="1">
      <alignment horizontal="center" vertical="center" wrapText="1"/>
    </xf>
    <xf numFmtId="0" fontId="33" fillId="29" borderId="4" xfId="0" applyFont="1" applyFill="1" applyBorder="1"/>
    <xf numFmtId="0" fontId="33" fillId="29" borderId="3" xfId="0" applyFont="1" applyFill="1" applyBorder="1"/>
    <xf numFmtId="0" fontId="33" fillId="0" borderId="0" xfId="0" applyFont="1"/>
    <xf numFmtId="0" fontId="59" fillId="2" borderId="4" xfId="3" applyFont="1" applyFill="1" applyBorder="1" applyAlignment="1" applyProtection="1">
      <alignment horizontal="center" vertical="center" wrapText="1"/>
      <protection locked="0"/>
    </xf>
    <xf numFmtId="0" fontId="24" fillId="0" borderId="0" xfId="0" applyFont="1" applyAlignment="1">
      <alignment horizontal="center"/>
    </xf>
    <xf numFmtId="0" fontId="26" fillId="0" borderId="4" xfId="0" applyFont="1" applyBorder="1" applyAlignment="1">
      <alignment horizontal="center" vertical="center" wrapText="1"/>
    </xf>
    <xf numFmtId="0" fontId="23" fillId="12" borderId="1" xfId="0" applyFont="1" applyFill="1" applyBorder="1" applyAlignment="1">
      <alignment horizontal="center" vertical="center" wrapText="1"/>
    </xf>
    <xf numFmtId="0" fontId="34" fillId="0" borderId="48" xfId="0" applyFont="1" applyBorder="1" applyAlignment="1">
      <alignment horizontal="center" vertical="center"/>
    </xf>
    <xf numFmtId="0" fontId="34" fillId="0" borderId="0" xfId="0" applyFont="1" applyAlignment="1">
      <alignment horizontal="center" vertical="center"/>
    </xf>
    <xf numFmtId="0" fontId="34" fillId="18" borderId="50" xfId="0" applyFont="1" applyFill="1" applyBorder="1" applyAlignment="1">
      <alignment horizontal="center" vertical="center" wrapText="1"/>
    </xf>
    <xf numFmtId="0" fontId="34" fillId="31" borderId="4" xfId="0" applyFont="1" applyFill="1" applyBorder="1" applyAlignment="1">
      <alignment horizontal="center" vertical="center"/>
    </xf>
    <xf numFmtId="9" fontId="34" fillId="32" borderId="78" xfId="0" applyNumberFormat="1" applyFont="1" applyFill="1" applyBorder="1" applyAlignment="1">
      <alignment horizontal="center" vertical="center"/>
    </xf>
    <xf numFmtId="9" fontId="34" fillId="32" borderId="44" xfId="0" applyNumberFormat="1" applyFont="1" applyFill="1" applyBorder="1" applyAlignment="1">
      <alignment horizontal="center" vertical="center"/>
    </xf>
    <xf numFmtId="0" fontId="30" fillId="12" borderId="0" xfId="0" applyFont="1" applyFill="1" applyAlignment="1">
      <alignment horizontal="center" vertical="center" wrapText="1"/>
    </xf>
    <xf numFmtId="0" fontId="41" fillId="24" borderId="13" xfId="3" applyFont="1" applyFill="1" applyBorder="1" applyAlignment="1">
      <alignment horizontal="center" vertical="center"/>
    </xf>
    <xf numFmtId="9" fontId="41" fillId="24" borderId="13" xfId="3" applyNumberFormat="1" applyFont="1" applyFill="1" applyBorder="1" applyAlignment="1">
      <alignment horizontal="center" vertical="center"/>
    </xf>
    <xf numFmtId="9" fontId="41" fillId="24" borderId="91" xfId="3" applyNumberFormat="1" applyFont="1" applyFill="1" applyBorder="1" applyAlignment="1">
      <alignment horizontal="center" vertical="center"/>
    </xf>
    <xf numFmtId="0" fontId="32" fillId="0" borderId="52" xfId="0" applyFont="1" applyBorder="1" applyAlignment="1">
      <alignment horizontal="center" wrapText="1"/>
    </xf>
    <xf numFmtId="0" fontId="46" fillId="0" borderId="0" xfId="0" applyFont="1" applyAlignment="1">
      <alignment horizontal="left" vertical="center" wrapText="1"/>
    </xf>
    <xf numFmtId="0" fontId="29" fillId="0" borderId="51" xfId="0" applyFont="1" applyBorder="1" applyAlignment="1">
      <alignment horizontal="center" vertical="center"/>
    </xf>
    <xf numFmtId="0" fontId="29" fillId="0" borderId="52" xfId="0" applyFont="1" applyBorder="1" applyAlignment="1">
      <alignment horizontal="center" vertical="center"/>
    </xf>
    <xf numFmtId="0" fontId="55" fillId="0" borderId="0" xfId="0" applyFont="1" applyAlignment="1">
      <alignment horizontal="center" vertical="center"/>
    </xf>
    <xf numFmtId="0" fontId="0" fillId="10" borderId="35" xfId="0" applyFill="1" applyBorder="1" applyAlignment="1">
      <alignment horizontal="center" vertical="center"/>
    </xf>
    <xf numFmtId="0" fontId="8" fillId="8" borderId="52" xfId="0" applyFont="1" applyFill="1" applyBorder="1" applyAlignment="1">
      <alignment horizontal="left" vertical="center" wrapText="1"/>
    </xf>
    <xf numFmtId="0" fontId="8" fillId="30" borderId="13" xfId="0" applyFont="1" applyFill="1" applyBorder="1" applyAlignment="1" applyProtection="1">
      <alignment horizontal="center" vertical="center" wrapText="1"/>
      <protection locked="0"/>
    </xf>
    <xf numFmtId="0" fontId="10" fillId="30" borderId="13" xfId="0" applyFont="1" applyFill="1" applyBorder="1" applyAlignment="1" applyProtection="1">
      <alignment horizontal="center" vertical="center" wrapText="1"/>
      <protection locked="0"/>
    </xf>
    <xf numFmtId="0" fontId="11" fillId="30" borderId="13" xfId="0" applyFont="1" applyFill="1" applyBorder="1" applyAlignment="1" applyProtection="1">
      <alignment horizontal="center" vertical="center"/>
      <protection locked="0"/>
    </xf>
    <xf numFmtId="0" fontId="26" fillId="0" borderId="10" xfId="0" applyFont="1" applyBorder="1" applyAlignment="1">
      <alignment horizontal="center" vertical="center" wrapText="1"/>
    </xf>
    <xf numFmtId="0" fontId="30" fillId="35" borderId="54" xfId="0" applyFont="1" applyFill="1" applyBorder="1"/>
    <xf numFmtId="0" fontId="30" fillId="35" borderId="84" xfId="0" applyFont="1" applyFill="1" applyBorder="1"/>
    <xf numFmtId="0" fontId="30" fillId="35" borderId="0" xfId="0" applyFont="1" applyFill="1"/>
    <xf numFmtId="0" fontId="30" fillId="35" borderId="67" xfId="0" applyFont="1" applyFill="1" applyBorder="1"/>
    <xf numFmtId="0" fontId="30" fillId="35" borderId="68" xfId="0" applyFont="1" applyFill="1" applyBorder="1"/>
    <xf numFmtId="0" fontId="30" fillId="35" borderId="69" xfId="0" applyFont="1" applyFill="1" applyBorder="1"/>
    <xf numFmtId="0" fontId="30" fillId="35" borderId="68" xfId="0" applyFont="1" applyFill="1" applyBorder="1" applyAlignment="1">
      <alignment wrapText="1"/>
    </xf>
    <xf numFmtId="14" fontId="30" fillId="35" borderId="68" xfId="0" applyNumberFormat="1" applyFont="1" applyFill="1" applyBorder="1" applyAlignment="1">
      <alignment wrapText="1"/>
    </xf>
    <xf numFmtId="0" fontId="30" fillId="35" borderId="69" xfId="0" applyFont="1" applyFill="1" applyBorder="1" applyAlignment="1">
      <alignment wrapText="1"/>
    </xf>
    <xf numFmtId="0" fontId="30" fillId="35" borderId="52" xfId="0" applyFont="1" applyFill="1" applyBorder="1" applyAlignment="1">
      <alignment wrapText="1"/>
    </xf>
    <xf numFmtId="0" fontId="30" fillId="35" borderId="49" xfId="0" applyFont="1" applyFill="1" applyBorder="1" applyAlignment="1">
      <alignment wrapText="1"/>
    </xf>
    <xf numFmtId="0" fontId="30" fillId="35" borderId="78" xfId="0" applyFont="1" applyFill="1" applyBorder="1" applyAlignment="1">
      <alignment wrapText="1"/>
    </xf>
    <xf numFmtId="0" fontId="30" fillId="35" borderId="153" xfId="0" applyFont="1" applyFill="1" applyBorder="1" applyAlignment="1">
      <alignment wrapText="1"/>
    </xf>
    <xf numFmtId="0" fontId="30" fillId="35" borderId="113" xfId="0" applyFont="1" applyFill="1" applyBorder="1" applyAlignment="1">
      <alignment wrapText="1"/>
    </xf>
    <xf numFmtId="0" fontId="30" fillId="35" borderId="18" xfId="0" applyFont="1" applyFill="1" applyBorder="1" applyAlignment="1">
      <alignment wrapText="1"/>
    </xf>
    <xf numFmtId="0" fontId="32" fillId="36" borderId="51" xfId="0" applyFont="1" applyFill="1" applyBorder="1" applyAlignment="1">
      <alignment wrapText="1"/>
    </xf>
    <xf numFmtId="0" fontId="32" fillId="8" borderId="154" xfId="0" applyFont="1" applyFill="1" applyBorder="1" applyAlignment="1">
      <alignment wrapText="1"/>
    </xf>
    <xf numFmtId="0" fontId="32" fillId="8" borderId="49" xfId="0" applyFont="1" applyFill="1" applyBorder="1"/>
    <xf numFmtId="0" fontId="32" fillId="8" borderId="155" xfId="0" applyFont="1" applyFill="1" applyBorder="1"/>
    <xf numFmtId="0" fontId="32" fillId="8" borderId="0" xfId="0" applyFont="1" applyFill="1"/>
    <xf numFmtId="0" fontId="32" fillId="8" borderId="156" xfId="0" applyFont="1" applyFill="1" applyBorder="1"/>
    <xf numFmtId="0" fontId="32" fillId="8" borderId="14" xfId="0" applyFont="1" applyFill="1" applyBorder="1"/>
    <xf numFmtId="0" fontId="32" fillId="8" borderId="33" xfId="0" applyFont="1" applyFill="1" applyBorder="1"/>
    <xf numFmtId="0" fontId="32" fillId="42" borderId="14" xfId="0" applyFont="1" applyFill="1" applyBorder="1" applyAlignment="1">
      <alignment wrapText="1"/>
    </xf>
    <xf numFmtId="0" fontId="32" fillId="8" borderId="78" xfId="0" applyFont="1" applyFill="1" applyBorder="1"/>
    <xf numFmtId="0" fontId="32" fillId="8" borderId="65" xfId="0" applyFont="1" applyFill="1" applyBorder="1"/>
    <xf numFmtId="0" fontId="32" fillId="8" borderId="122" xfId="0" applyFont="1" applyFill="1" applyBorder="1"/>
    <xf numFmtId="0" fontId="32" fillId="8" borderId="28" xfId="0" applyFont="1" applyFill="1" applyBorder="1"/>
    <xf numFmtId="0" fontId="32" fillId="36" borderId="14" xfId="0" applyFont="1" applyFill="1" applyBorder="1" applyAlignment="1">
      <alignment wrapText="1"/>
    </xf>
    <xf numFmtId="0" fontId="16" fillId="8" borderId="3" xfId="0" applyFont="1" applyFill="1" applyBorder="1"/>
    <xf numFmtId="0" fontId="16" fillId="8" borderId="132" xfId="0" applyFont="1" applyFill="1" applyBorder="1"/>
    <xf numFmtId="0" fontId="16" fillId="8" borderId="11" xfId="0" applyFont="1" applyFill="1" applyBorder="1"/>
    <xf numFmtId="0" fontId="16" fillId="8" borderId="131" xfId="0" applyFont="1" applyFill="1" applyBorder="1"/>
    <xf numFmtId="0" fontId="32" fillId="8" borderId="154" xfId="0" applyFont="1" applyFill="1" applyBorder="1"/>
    <xf numFmtId="0" fontId="32" fillId="8" borderId="49" xfId="0" applyFont="1" applyFill="1" applyBorder="1" applyAlignment="1">
      <alignment wrapText="1"/>
    </xf>
    <xf numFmtId="0" fontId="32" fillId="8" borderId="155" xfId="0" applyFont="1" applyFill="1" applyBorder="1" applyAlignment="1">
      <alignment wrapText="1"/>
    </xf>
    <xf numFmtId="0" fontId="32" fillId="8" borderId="124" xfId="0" applyFont="1" applyFill="1" applyBorder="1"/>
    <xf numFmtId="0" fontId="32" fillId="8" borderId="157" xfId="0" applyFont="1" applyFill="1" applyBorder="1"/>
    <xf numFmtId="0" fontId="32" fillId="8" borderId="4" xfId="0" applyFont="1" applyFill="1" applyBorder="1"/>
    <xf numFmtId="0" fontId="32" fillId="8" borderId="124" xfId="0" applyFont="1" applyFill="1" applyBorder="1" applyAlignment="1">
      <alignment wrapText="1"/>
    </xf>
    <xf numFmtId="0" fontId="32" fillId="8" borderId="10" xfId="0" applyFont="1" applyFill="1" applyBorder="1"/>
    <xf numFmtId="0" fontId="67" fillId="8" borderId="155" xfId="0" applyFont="1" applyFill="1" applyBorder="1" applyAlignment="1">
      <alignment wrapText="1"/>
    </xf>
    <xf numFmtId="0" fontId="67" fillId="8" borderId="155" xfId="0" applyFont="1" applyFill="1" applyBorder="1"/>
    <xf numFmtId="0" fontId="16" fillId="8" borderId="33" xfId="0" applyFont="1" applyFill="1" applyBorder="1"/>
    <xf numFmtId="0" fontId="67" fillId="8" borderId="49" xfId="0" applyFont="1" applyFill="1" applyBorder="1" applyAlignment="1">
      <alignment wrapText="1"/>
    </xf>
    <xf numFmtId="0" fontId="67" fillId="8" borderId="49" xfId="0" applyFont="1" applyFill="1" applyBorder="1"/>
    <xf numFmtId="0" fontId="67" fillId="8" borderId="78" xfId="0" applyFont="1" applyFill="1" applyBorder="1" applyAlignment="1">
      <alignment wrapText="1"/>
    </xf>
    <xf numFmtId="0" fontId="32" fillId="8" borderId="3" xfId="0" applyFont="1" applyFill="1" applyBorder="1"/>
    <xf numFmtId="0" fontId="67" fillId="8" borderId="3" xfId="0" applyFont="1" applyFill="1" applyBorder="1"/>
    <xf numFmtId="0" fontId="32" fillId="8" borderId="11" xfId="0" applyFont="1" applyFill="1" applyBorder="1"/>
    <xf numFmtId="0" fontId="16" fillId="8" borderId="10" xfId="0" applyFont="1" applyFill="1" applyBorder="1"/>
    <xf numFmtId="0" fontId="16" fillId="8" borderId="0" xfId="0" applyFont="1" applyFill="1"/>
    <xf numFmtId="0" fontId="32" fillId="8" borderId="78" xfId="0" applyFont="1" applyFill="1" applyBorder="1" applyAlignment="1">
      <alignment wrapText="1"/>
    </xf>
    <xf numFmtId="0" fontId="16" fillId="8" borderId="4" xfId="0" applyFont="1" applyFill="1" applyBorder="1"/>
    <xf numFmtId="0" fontId="32" fillId="8" borderId="132" xfId="0" applyFont="1" applyFill="1" applyBorder="1"/>
    <xf numFmtId="0" fontId="32" fillId="8" borderId="131" xfId="0" applyFont="1" applyFill="1" applyBorder="1"/>
    <xf numFmtId="0" fontId="32" fillId="8" borderId="11" xfId="0" applyFont="1" applyFill="1" applyBorder="1" applyAlignment="1">
      <alignment wrapText="1"/>
    </xf>
    <xf numFmtId="0" fontId="32" fillId="8" borderId="14" xfId="0" applyFont="1" applyFill="1" applyBorder="1" applyAlignment="1">
      <alignment wrapText="1"/>
    </xf>
    <xf numFmtId="0" fontId="32" fillId="8" borderId="158" xfId="0" applyFont="1" applyFill="1" applyBorder="1"/>
    <xf numFmtId="0" fontId="32" fillId="8" borderId="118" xfId="0" applyFont="1" applyFill="1" applyBorder="1"/>
    <xf numFmtId="0" fontId="32" fillId="8" borderId="22" xfId="0" applyFont="1" applyFill="1" applyBorder="1"/>
    <xf numFmtId="0" fontId="32" fillId="8" borderId="21" xfId="0" applyFont="1" applyFill="1" applyBorder="1"/>
    <xf numFmtId="0" fontId="32" fillId="8" borderId="159" xfId="0" applyFont="1" applyFill="1" applyBorder="1"/>
    <xf numFmtId="0" fontId="32" fillId="44" borderId="0" xfId="0" applyFont="1" applyFill="1" applyAlignment="1">
      <alignment horizontal="center" vertical="center"/>
    </xf>
    <xf numFmtId="0" fontId="49" fillId="35" borderId="57" xfId="0" applyFont="1" applyFill="1" applyBorder="1"/>
    <xf numFmtId="0" fontId="32" fillId="24" borderId="154" xfId="0" applyFont="1" applyFill="1" applyBorder="1" applyAlignment="1">
      <alignment wrapText="1"/>
    </xf>
    <xf numFmtId="0" fontId="27" fillId="0" borderId="20" xfId="0" applyFont="1" applyBorder="1"/>
    <xf numFmtId="0" fontId="27" fillId="0" borderId="21" xfId="0" applyFont="1" applyBorder="1"/>
    <xf numFmtId="0" fontId="27" fillId="0" borderId="22" xfId="0" applyFont="1" applyBorder="1"/>
    <xf numFmtId="9" fontId="5" fillId="30" borderId="13" xfId="2" applyFont="1" applyFill="1" applyBorder="1" applyAlignment="1" applyProtection="1">
      <alignment horizontal="center" vertical="center" wrapText="1"/>
      <protection locked="0"/>
    </xf>
    <xf numFmtId="9" fontId="10" fillId="30" borderId="13" xfId="2" applyFont="1" applyFill="1" applyBorder="1" applyAlignment="1" applyProtection="1">
      <alignment horizontal="center" vertical="center" wrapText="1"/>
      <protection locked="0"/>
    </xf>
    <xf numFmtId="0" fontId="10" fillId="30" borderId="13" xfId="0" applyFont="1" applyFill="1" applyBorder="1" applyAlignment="1" applyProtection="1">
      <alignment horizontal="left" vertical="center" wrapText="1"/>
      <protection locked="0"/>
    </xf>
    <xf numFmtId="0" fontId="8" fillId="30" borderId="13" xfId="0" applyFont="1" applyFill="1" applyBorder="1" applyAlignment="1" applyProtection="1">
      <alignment vertical="center" wrapText="1"/>
      <protection locked="0"/>
    </xf>
    <xf numFmtId="0" fontId="8" fillId="30" borderId="13" xfId="0" applyFont="1" applyFill="1" applyBorder="1" applyAlignment="1" applyProtection="1">
      <alignment vertical="center"/>
      <protection locked="0"/>
    </xf>
    <xf numFmtId="0" fontId="8" fillId="30" borderId="4" xfId="0" applyFont="1" applyFill="1" applyBorder="1" applyAlignment="1">
      <alignment horizontal="center" vertical="center" wrapText="1"/>
    </xf>
    <xf numFmtId="0" fontId="8" fillId="66" borderId="13" xfId="0" applyFont="1" applyFill="1" applyBorder="1" applyAlignment="1">
      <alignment horizontal="center" vertical="center" wrapText="1"/>
    </xf>
    <xf numFmtId="9" fontId="5" fillId="30" borderId="13" xfId="2" applyFont="1" applyFill="1" applyBorder="1" applyAlignment="1" applyProtection="1">
      <alignment vertical="center"/>
      <protection locked="0"/>
    </xf>
    <xf numFmtId="9" fontId="68" fillId="30" borderId="4" xfId="2" applyFont="1" applyFill="1" applyBorder="1" applyAlignment="1" applyProtection="1">
      <alignment horizontal="center" vertical="center" wrapText="1"/>
      <protection locked="0"/>
    </xf>
    <xf numFmtId="0" fontId="8" fillId="30" borderId="4" xfId="0" applyFont="1" applyFill="1" applyBorder="1" applyAlignment="1" applyProtection="1">
      <alignment horizontal="justify" vertical="center" wrapText="1"/>
      <protection locked="0"/>
    </xf>
    <xf numFmtId="49" fontId="5" fillId="30" borderId="13" xfId="0" applyNumberFormat="1" applyFont="1" applyFill="1" applyBorder="1" applyAlignment="1" applyProtection="1">
      <alignment horizontal="justify" vertical="center" wrapText="1"/>
      <protection locked="0"/>
    </xf>
    <xf numFmtId="9" fontId="12" fillId="30" borderId="13" xfId="2" applyFont="1" applyFill="1" applyBorder="1" applyAlignment="1" applyProtection="1">
      <alignment horizontal="center" vertical="center"/>
      <protection locked="0"/>
    </xf>
    <xf numFmtId="0" fontId="11" fillId="30" borderId="13" xfId="0" applyFont="1" applyFill="1" applyBorder="1" applyAlignment="1" applyProtection="1">
      <alignment horizontal="left" vertical="center" wrapText="1"/>
      <protection locked="0"/>
    </xf>
    <xf numFmtId="0" fontId="22" fillId="40" borderId="4" xfId="3" applyFont="1" applyFill="1" applyBorder="1" applyAlignment="1">
      <alignment horizontal="center" vertical="center" wrapText="1"/>
    </xf>
    <xf numFmtId="0" fontId="53" fillId="9" borderId="120" xfId="0" applyFont="1" applyFill="1" applyBorder="1" applyAlignment="1">
      <alignment horizontal="center" vertical="center"/>
    </xf>
    <xf numFmtId="0" fontId="53" fillId="67" borderId="120" xfId="0" applyFont="1" applyFill="1" applyBorder="1" applyAlignment="1">
      <alignment horizontal="center" vertical="center"/>
    </xf>
    <xf numFmtId="9" fontId="8" fillId="66" borderId="13" xfId="2" applyFont="1" applyFill="1" applyBorder="1" applyAlignment="1">
      <alignment horizontal="center" vertical="center"/>
    </xf>
    <xf numFmtId="9" fontId="5" fillId="30" borderId="13" xfId="2" applyFont="1" applyFill="1" applyBorder="1" applyAlignment="1" applyProtection="1">
      <alignment horizontal="left" vertical="center" wrapText="1"/>
      <protection locked="0"/>
    </xf>
    <xf numFmtId="9" fontId="8" fillId="66" borderId="13" xfId="0" applyNumberFormat="1" applyFont="1" applyFill="1" applyBorder="1" applyAlignment="1">
      <alignment horizontal="center" vertical="center"/>
    </xf>
    <xf numFmtId="0" fontId="14" fillId="6" borderId="0" xfId="0" applyFont="1" applyFill="1" applyAlignment="1">
      <alignment horizontal="center" vertical="center"/>
    </xf>
    <xf numFmtId="0" fontId="5" fillId="8" borderId="13" xfId="0" applyFont="1" applyFill="1" applyBorder="1" applyAlignment="1" applyProtection="1">
      <alignment vertical="center"/>
      <protection locked="0"/>
    </xf>
    <xf numFmtId="9" fontId="5" fillId="8" borderId="13" xfId="2" applyFont="1" applyFill="1" applyBorder="1" applyAlignment="1" applyProtection="1">
      <alignment horizontal="center" vertical="center"/>
      <protection locked="0"/>
    </xf>
    <xf numFmtId="0" fontId="5" fillId="8" borderId="4" xfId="0" applyFont="1" applyFill="1" applyBorder="1" applyAlignment="1">
      <alignment vertical="center" wrapText="1"/>
    </xf>
    <xf numFmtId="9" fontId="10" fillId="8" borderId="13" xfId="2" applyFont="1" applyFill="1" applyBorder="1" applyAlignment="1" applyProtection="1">
      <alignment horizontal="center" vertical="center" wrapText="1"/>
      <protection locked="0"/>
    </xf>
    <xf numFmtId="9" fontId="9" fillId="68" borderId="46" xfId="2" applyFont="1" applyFill="1" applyBorder="1" applyAlignment="1">
      <alignment horizontal="center" vertical="center" wrapText="1"/>
    </xf>
    <xf numFmtId="9" fontId="9" fillId="8" borderId="4" xfId="0" applyNumberFormat="1" applyFont="1" applyFill="1" applyBorder="1" applyAlignment="1" applyProtection="1">
      <alignment vertical="center"/>
      <protection locked="0"/>
    </xf>
    <xf numFmtId="9" fontId="9" fillId="8" borderId="4" xfId="0" applyNumberFormat="1" applyFont="1" applyFill="1" applyBorder="1" applyAlignment="1">
      <alignment horizontal="center" vertical="center"/>
    </xf>
    <xf numFmtId="0" fontId="9" fillId="8" borderId="4" xfId="0" applyFont="1" applyFill="1" applyBorder="1" applyAlignment="1" applyProtection="1">
      <alignment vertical="center"/>
      <protection locked="0"/>
    </xf>
    <xf numFmtId="0" fontId="9" fillId="68" borderId="52" xfId="0" applyFont="1" applyFill="1" applyBorder="1" applyAlignment="1">
      <alignment horizontal="center" vertical="center" wrapText="1"/>
    </xf>
    <xf numFmtId="0" fontId="9" fillId="8" borderId="13" xfId="0" applyFont="1" applyFill="1" applyBorder="1" applyAlignment="1" applyProtection="1">
      <alignment vertical="center"/>
      <protection locked="0"/>
    </xf>
    <xf numFmtId="9" fontId="9" fillId="68" borderId="42" xfId="2" applyFont="1" applyFill="1" applyBorder="1" applyAlignment="1">
      <alignment horizontal="center" vertical="center" wrapText="1"/>
    </xf>
    <xf numFmtId="0" fontId="9" fillId="68" borderId="42" xfId="0" applyFont="1" applyFill="1" applyBorder="1" applyAlignment="1">
      <alignment horizontal="center" vertical="center" wrapText="1"/>
    </xf>
    <xf numFmtId="0" fontId="9" fillId="68" borderId="13" xfId="0" applyFont="1" applyFill="1" applyBorder="1" applyAlignment="1">
      <alignment horizontal="center" vertical="center" wrapText="1"/>
    </xf>
    <xf numFmtId="0" fontId="5" fillId="8" borderId="4" xfId="0" applyFont="1" applyFill="1" applyBorder="1" applyAlignment="1">
      <alignment vertical="center"/>
    </xf>
    <xf numFmtId="0" fontId="8" fillId="8" borderId="13" xfId="0" applyFont="1" applyFill="1" applyBorder="1" applyAlignment="1" applyProtection="1">
      <alignment vertical="center" wrapText="1"/>
      <protection locked="0"/>
    </xf>
    <xf numFmtId="0" fontId="8" fillId="8" borderId="13" xfId="0" applyFont="1" applyFill="1" applyBorder="1" applyAlignment="1">
      <alignment horizontal="center" vertical="center" wrapText="1"/>
    </xf>
    <xf numFmtId="0" fontId="8" fillId="8" borderId="42" xfId="0" applyFont="1" applyFill="1" applyBorder="1" applyAlignment="1" applyProtection="1">
      <alignment horizontal="center" vertical="center" wrapText="1"/>
      <protection locked="0"/>
    </xf>
    <xf numFmtId="164" fontId="8" fillId="8" borderId="13" xfId="0" applyNumberFormat="1" applyFont="1" applyFill="1" applyBorder="1" applyAlignment="1" applyProtection="1">
      <alignment horizontal="center" vertical="center" wrapText="1"/>
      <protection locked="0"/>
    </xf>
    <xf numFmtId="0" fontId="8" fillId="8" borderId="13" xfId="0" applyFont="1" applyFill="1" applyBorder="1" applyAlignment="1">
      <alignment vertical="center" wrapText="1"/>
    </xf>
    <xf numFmtId="0" fontId="8" fillId="8" borderId="52" xfId="0" applyFont="1" applyFill="1" applyBorder="1" applyAlignment="1">
      <alignment vertical="center" wrapText="1"/>
    </xf>
    <xf numFmtId="0" fontId="8" fillId="8" borderId="52" xfId="0" applyFont="1" applyFill="1" applyBorder="1" applyAlignment="1">
      <alignment horizontal="center" vertical="center" wrapText="1"/>
    </xf>
    <xf numFmtId="9" fontId="68" fillId="8" borderId="13" xfId="2" applyFont="1" applyFill="1" applyBorder="1" applyAlignment="1" applyProtection="1">
      <alignment horizontal="center" vertical="center" wrapText="1"/>
      <protection locked="0"/>
    </xf>
    <xf numFmtId="9" fontId="68" fillId="8" borderId="13" xfId="0" applyNumberFormat="1" applyFont="1" applyFill="1" applyBorder="1" applyAlignment="1">
      <alignment horizontal="center" vertical="center" wrapText="1"/>
    </xf>
    <xf numFmtId="9" fontId="68" fillId="8" borderId="52" xfId="0" applyNumberFormat="1" applyFont="1" applyFill="1" applyBorder="1" applyAlignment="1">
      <alignment horizontal="center" vertical="center" wrapText="1"/>
    </xf>
    <xf numFmtId="9" fontId="68" fillId="8" borderId="51" xfId="0" applyNumberFormat="1" applyFont="1" applyFill="1" applyBorder="1" applyAlignment="1">
      <alignment horizontal="center" vertical="center" wrapText="1"/>
    </xf>
    <xf numFmtId="0" fontId="60" fillId="8" borderId="4" xfId="3" applyFont="1" applyFill="1" applyBorder="1" applyAlignment="1">
      <alignment horizontal="center" vertical="center" wrapText="1"/>
    </xf>
    <xf numFmtId="0" fontId="60" fillId="8" borderId="1" xfId="3" applyFont="1" applyFill="1" applyBorder="1" applyAlignment="1">
      <alignment horizontal="center" vertical="center" wrapText="1"/>
    </xf>
    <xf numFmtId="9" fontId="5" fillId="8" borderId="13" xfId="0" applyNumberFormat="1" applyFont="1" applyFill="1" applyBorder="1" applyAlignment="1" applyProtection="1">
      <alignment vertical="center"/>
      <protection locked="0"/>
    </xf>
    <xf numFmtId="9" fontId="5" fillId="8" borderId="13" xfId="0" applyNumberFormat="1" applyFont="1" applyFill="1" applyBorder="1" applyAlignment="1" applyProtection="1">
      <alignment horizontal="center" vertical="center"/>
      <protection locked="0"/>
    </xf>
    <xf numFmtId="0" fontId="5" fillId="8" borderId="13" xfId="0" applyFont="1" applyFill="1" applyBorder="1" applyAlignment="1" applyProtection="1">
      <alignment horizontal="center" vertical="center" wrapText="1"/>
      <protection locked="0"/>
    </xf>
    <xf numFmtId="9" fontId="8" fillId="68" borderId="13" xfId="0" applyNumberFormat="1" applyFont="1" applyFill="1" applyBorder="1" applyAlignment="1">
      <alignment horizontal="center" vertical="center"/>
    </xf>
    <xf numFmtId="0" fontId="5" fillId="8" borderId="4" xfId="0" applyFont="1" applyFill="1" applyBorder="1" applyAlignment="1" applyProtection="1">
      <alignment horizontal="center" vertical="center" wrapText="1"/>
      <protection locked="0"/>
    </xf>
    <xf numFmtId="9" fontId="5" fillId="8" borderId="4" xfId="0" applyNumberFormat="1" applyFont="1" applyFill="1" applyBorder="1" applyAlignment="1" applyProtection="1">
      <alignment vertical="center"/>
      <protection locked="0"/>
    </xf>
    <xf numFmtId="0" fontId="5" fillId="8" borderId="4" xfId="0" applyFont="1" applyFill="1" applyBorder="1" applyAlignment="1" applyProtection="1">
      <alignment vertical="center"/>
      <protection locked="0"/>
    </xf>
    <xf numFmtId="9" fontId="5" fillId="8" borderId="4" xfId="0" applyNumberFormat="1" applyFont="1" applyFill="1" applyBorder="1" applyAlignment="1">
      <alignment horizontal="center" vertical="center"/>
    </xf>
    <xf numFmtId="0" fontId="5" fillId="8" borderId="4" xfId="0" applyFont="1" applyFill="1" applyBorder="1" applyAlignment="1">
      <alignment horizontal="center" vertical="center" wrapText="1"/>
    </xf>
    <xf numFmtId="9" fontId="5" fillId="8" borderId="4" xfId="0" applyNumberFormat="1" applyFont="1" applyFill="1" applyBorder="1" applyAlignment="1">
      <alignment vertical="center"/>
    </xf>
    <xf numFmtId="9" fontId="5" fillId="8" borderId="4" xfId="2" applyFont="1" applyFill="1" applyBorder="1" applyAlignment="1">
      <alignment vertical="center"/>
    </xf>
    <xf numFmtId="9" fontId="5" fillId="8" borderId="0" xfId="0" applyNumberFormat="1" applyFont="1" applyFill="1" applyAlignment="1" applyProtection="1">
      <alignment vertical="center"/>
      <protection locked="0"/>
    </xf>
    <xf numFmtId="0" fontId="8" fillId="64" borderId="13" xfId="0" applyFont="1" applyFill="1" applyBorder="1" applyAlignment="1" applyProtection="1">
      <alignment horizontal="justify" vertical="center" readingOrder="1"/>
      <protection locked="0"/>
    </xf>
    <xf numFmtId="0" fontId="8" fillId="64" borderId="13" xfId="0" applyFont="1" applyFill="1" applyBorder="1" applyAlignment="1">
      <alignment vertical="center" wrapText="1" readingOrder="1"/>
    </xf>
    <xf numFmtId="0" fontId="8" fillId="64" borderId="4" xfId="0" applyFont="1" applyFill="1" applyBorder="1" applyAlignment="1" applyProtection="1">
      <alignment horizontal="center" vertical="center" wrapText="1"/>
      <protection locked="0"/>
    </xf>
    <xf numFmtId="0" fontId="8" fillId="64" borderId="4" xfId="0" applyFont="1" applyFill="1" applyBorder="1" applyAlignment="1">
      <alignment horizontal="center" vertical="center" wrapText="1"/>
    </xf>
    <xf numFmtId="0" fontId="9" fillId="64" borderId="4" xfId="0" applyFont="1" applyFill="1" applyBorder="1" applyAlignment="1" applyProtection="1">
      <alignment horizontal="center" vertical="center" wrapText="1"/>
      <protection locked="0"/>
    </xf>
    <xf numFmtId="0" fontId="8" fillId="8" borderId="13" xfId="0" applyFont="1" applyFill="1" applyBorder="1" applyAlignment="1" applyProtection="1">
      <alignment horizontal="center" vertical="center" wrapText="1"/>
      <protection locked="0"/>
    </xf>
    <xf numFmtId="0" fontId="4" fillId="29" borderId="151" xfId="3" applyFont="1" applyFill="1" applyBorder="1" applyAlignment="1" applyProtection="1">
      <alignment horizontal="center" vertical="center" wrapText="1"/>
      <protection locked="0"/>
    </xf>
    <xf numFmtId="0" fontId="4" fillId="29" borderId="152" xfId="3" applyFont="1" applyFill="1" applyBorder="1" applyAlignment="1" applyProtection="1">
      <alignment horizontal="center" vertical="center" wrapText="1"/>
      <protection locked="0"/>
    </xf>
    <xf numFmtId="9" fontId="5" fillId="29" borderId="13" xfId="0" applyNumberFormat="1" applyFont="1" applyFill="1" applyBorder="1" applyAlignment="1" applyProtection="1">
      <alignment vertical="center"/>
      <protection locked="0"/>
    </xf>
    <xf numFmtId="0" fontId="5" fillId="29" borderId="13" xfId="0" applyFont="1" applyFill="1" applyBorder="1" applyAlignment="1" applyProtection="1">
      <alignment vertical="center"/>
      <protection locked="0"/>
    </xf>
    <xf numFmtId="9" fontId="5" fillId="29" borderId="13" xfId="2" applyFont="1" applyFill="1" applyBorder="1" applyAlignment="1" applyProtection="1">
      <alignment horizontal="center" vertical="center"/>
      <protection locked="0"/>
    </xf>
    <xf numFmtId="0" fontId="5" fillId="29" borderId="13" xfId="0" applyFont="1" applyFill="1" applyBorder="1" applyAlignment="1" applyProtection="1">
      <alignment horizontal="center" vertical="center" wrapText="1"/>
      <protection locked="0"/>
    </xf>
    <xf numFmtId="0" fontId="5" fillId="29" borderId="13" xfId="0" applyFont="1" applyFill="1" applyBorder="1" applyAlignment="1" applyProtection="1">
      <alignment horizontal="center" vertical="center"/>
      <protection locked="0"/>
    </xf>
    <xf numFmtId="0" fontId="5" fillId="29" borderId="13" xfId="0" applyFont="1" applyFill="1" applyBorder="1" applyAlignment="1" applyProtection="1">
      <alignment vertical="center" wrapText="1"/>
      <protection locked="0"/>
    </xf>
    <xf numFmtId="9" fontId="5" fillId="29" borderId="13" xfId="0" applyNumberFormat="1" applyFont="1" applyFill="1" applyBorder="1" applyAlignment="1" applyProtection="1">
      <alignment horizontal="center" vertical="center"/>
      <protection locked="0"/>
    </xf>
    <xf numFmtId="9" fontId="9" fillId="29" borderId="13" xfId="0" applyNumberFormat="1" applyFont="1" applyFill="1" applyBorder="1" applyAlignment="1" applyProtection="1">
      <alignment horizontal="center" vertical="center"/>
      <protection locked="0"/>
    </xf>
    <xf numFmtId="0" fontId="9" fillId="29" borderId="13" xfId="0" applyFont="1" applyFill="1" applyBorder="1" applyAlignment="1" applyProtection="1">
      <alignment horizontal="center" vertical="center" wrapText="1"/>
      <protection locked="0"/>
    </xf>
    <xf numFmtId="0" fontId="9" fillId="29" borderId="13" xfId="0" applyFont="1" applyFill="1" applyBorder="1" applyAlignment="1" applyProtection="1">
      <alignment horizontal="center" vertical="center"/>
      <protection locked="0"/>
    </xf>
    <xf numFmtId="9" fontId="9" fillId="29" borderId="13" xfId="0" applyNumberFormat="1" applyFont="1" applyFill="1" applyBorder="1" applyAlignment="1" applyProtection="1">
      <alignment vertical="center"/>
      <protection locked="0"/>
    </xf>
    <xf numFmtId="0" fontId="9" fillId="29" borderId="13" xfId="0" applyFont="1" applyFill="1" applyBorder="1" applyAlignment="1" applyProtection="1">
      <alignment vertical="center"/>
      <protection locked="0"/>
    </xf>
    <xf numFmtId="9" fontId="5" fillId="29" borderId="13" xfId="2" applyFont="1" applyFill="1" applyBorder="1" applyAlignment="1" applyProtection="1">
      <alignment vertical="center"/>
      <protection locked="0"/>
    </xf>
    <xf numFmtId="12" fontId="5" fillId="29" borderId="13" xfId="0" applyNumberFormat="1" applyFont="1" applyFill="1" applyBorder="1" applyAlignment="1" applyProtection="1">
      <alignment vertical="center" wrapText="1"/>
      <protection locked="0"/>
    </xf>
    <xf numFmtId="0" fontId="8" fillId="29" borderId="13" xfId="0" applyFont="1" applyFill="1" applyBorder="1" applyAlignment="1" applyProtection="1">
      <alignment vertical="center"/>
      <protection locked="0"/>
    </xf>
    <xf numFmtId="9" fontId="5" fillId="29" borderId="13" xfId="2" applyFont="1" applyFill="1" applyBorder="1" applyAlignment="1" applyProtection="1">
      <alignment horizontal="center" vertical="center" wrapText="1"/>
      <protection locked="0"/>
    </xf>
    <xf numFmtId="9" fontId="5" fillId="29" borderId="13" xfId="0" applyNumberFormat="1" applyFont="1" applyFill="1" applyBorder="1" applyAlignment="1" applyProtection="1">
      <alignment horizontal="center" vertical="center" wrapText="1"/>
      <protection locked="0"/>
    </xf>
    <xf numFmtId="10" fontId="5" fillId="29" borderId="13" xfId="0" applyNumberFormat="1" applyFont="1" applyFill="1" applyBorder="1" applyAlignment="1" applyProtection="1">
      <alignment vertical="center"/>
      <protection locked="0"/>
    </xf>
    <xf numFmtId="0" fontId="8" fillId="29" borderId="13" xfId="0" applyFont="1" applyFill="1" applyBorder="1" applyAlignment="1" applyProtection="1">
      <alignment vertical="center" wrapText="1"/>
      <protection locked="0"/>
    </xf>
    <xf numFmtId="9" fontId="8" fillId="69" borderId="13" xfId="0" applyNumberFormat="1" applyFont="1" applyFill="1" applyBorder="1" applyAlignment="1">
      <alignment horizontal="center" vertical="center"/>
    </xf>
    <xf numFmtId="0" fontId="8" fillId="69" borderId="13" xfId="0" applyFont="1" applyFill="1" applyBorder="1" applyAlignment="1">
      <alignment vertical="center" wrapText="1"/>
    </xf>
    <xf numFmtId="0" fontId="8" fillId="69" borderId="13" xfId="0" applyFont="1" applyFill="1" applyBorder="1" applyAlignment="1">
      <alignment horizontal="center" vertical="center" wrapText="1"/>
    </xf>
    <xf numFmtId="9" fontId="8" fillId="69" borderId="13" xfId="2" applyFont="1" applyFill="1" applyBorder="1" applyAlignment="1">
      <alignment horizontal="center" vertical="center"/>
    </xf>
    <xf numFmtId="0" fontId="8" fillId="29" borderId="4" xfId="0" applyFont="1" applyFill="1" applyBorder="1" applyAlignment="1">
      <alignment horizontal="center" vertical="center" wrapText="1"/>
    </xf>
    <xf numFmtId="0" fontId="8" fillId="69" borderId="13" xfId="0" applyFont="1" applyFill="1" applyBorder="1" applyAlignment="1">
      <alignment vertical="center"/>
    </xf>
    <xf numFmtId="0" fontId="8" fillId="69" borderId="13" xfId="0" applyFont="1" applyFill="1" applyBorder="1" applyAlignment="1">
      <alignment horizontal="center" vertical="center"/>
    </xf>
    <xf numFmtId="9" fontId="8" fillId="69" borderId="13" xfId="0" applyNumberFormat="1" applyFont="1" applyFill="1" applyBorder="1" applyAlignment="1">
      <alignment horizontal="center" vertical="center" wrapText="1"/>
    </xf>
    <xf numFmtId="0" fontId="8" fillId="69" borderId="13" xfId="0" applyFont="1" applyFill="1" applyBorder="1"/>
    <xf numFmtId="9" fontId="8" fillId="69" borderId="13" xfId="2" applyFont="1" applyFill="1" applyBorder="1" applyAlignment="1">
      <alignment horizontal="center" vertical="center" wrapText="1"/>
    </xf>
    <xf numFmtId="0" fontId="8" fillId="69" borderId="13" xfId="0" applyFont="1" applyFill="1" applyBorder="1" applyAlignment="1">
      <alignment horizontal="left" vertical="center" wrapText="1"/>
    </xf>
    <xf numFmtId="0" fontId="8" fillId="69" borderId="13" xfId="0" applyFont="1" applyFill="1" applyBorder="1" applyAlignment="1">
      <alignment horizontal="left" vertical="center"/>
    </xf>
    <xf numFmtId="0" fontId="5" fillId="29" borderId="13" xfId="0" applyFont="1" applyFill="1" applyBorder="1" applyAlignment="1" applyProtection="1">
      <alignment horizontal="left" vertical="center"/>
      <protection locked="0"/>
    </xf>
    <xf numFmtId="9" fontId="68" fillId="29" borderId="4" xfId="2" applyFont="1" applyFill="1" applyBorder="1" applyAlignment="1" applyProtection="1">
      <alignment horizontal="center" vertical="center" wrapText="1"/>
      <protection locked="0"/>
    </xf>
    <xf numFmtId="0" fontId="8" fillId="29" borderId="4" xfId="0" applyFont="1" applyFill="1" applyBorder="1" applyAlignment="1" applyProtection="1">
      <alignment horizontal="justify" vertical="center" wrapText="1"/>
      <protection locked="0"/>
    </xf>
    <xf numFmtId="9" fontId="12" fillId="29" borderId="13" xfId="2" applyFont="1" applyFill="1" applyBorder="1" applyAlignment="1" applyProtection="1">
      <alignment horizontal="center" vertical="center"/>
      <protection locked="0"/>
    </xf>
    <xf numFmtId="49" fontId="5" fillId="29" borderId="13" xfId="0" applyNumberFormat="1" applyFont="1" applyFill="1" applyBorder="1" applyAlignment="1" applyProtection="1">
      <alignment horizontal="justify" vertical="center" wrapText="1"/>
      <protection locked="0"/>
    </xf>
    <xf numFmtId="0" fontId="4" fillId="30" borderId="151" xfId="3" applyFont="1" applyFill="1" applyBorder="1" applyAlignment="1" applyProtection="1">
      <alignment horizontal="center" vertical="center" wrapText="1"/>
      <protection locked="0"/>
    </xf>
    <xf numFmtId="9" fontId="5" fillId="30" borderId="3" xfId="0" applyNumberFormat="1" applyFont="1" applyFill="1" applyBorder="1" applyAlignment="1" applyProtection="1">
      <alignment vertical="center"/>
      <protection locked="0"/>
    </xf>
    <xf numFmtId="9" fontId="8" fillId="66" borderId="13" xfId="0" applyNumberFormat="1" applyFont="1" applyFill="1" applyBorder="1" applyAlignment="1">
      <alignment horizontal="center" vertical="center" wrapText="1"/>
    </xf>
    <xf numFmtId="0" fontId="9" fillId="30" borderId="13" xfId="0" applyFont="1" applyFill="1" applyBorder="1" applyAlignment="1">
      <alignment horizontal="center" vertical="center"/>
    </xf>
    <xf numFmtId="0" fontId="9" fillId="30" borderId="13" xfId="0" applyFont="1" applyFill="1" applyBorder="1" applyAlignment="1">
      <alignment horizontal="center" vertical="center" wrapText="1"/>
    </xf>
    <xf numFmtId="9" fontId="9" fillId="30" borderId="4" xfId="0" applyNumberFormat="1" applyFont="1" applyFill="1" applyBorder="1" applyAlignment="1" applyProtection="1">
      <alignment vertical="center"/>
      <protection locked="0"/>
    </xf>
    <xf numFmtId="0" fontId="9" fillId="30" borderId="4" xfId="0" applyFont="1" applyFill="1" applyBorder="1" applyAlignment="1" applyProtection="1">
      <alignment horizontal="center" vertical="center" wrapText="1"/>
      <protection locked="0"/>
    </xf>
    <xf numFmtId="0" fontId="9" fillId="30" borderId="4" xfId="0" applyFont="1" applyFill="1" applyBorder="1" applyAlignment="1" applyProtection="1">
      <alignment vertical="center"/>
      <protection locked="0"/>
    </xf>
    <xf numFmtId="0" fontId="8" fillId="30" borderId="13" xfId="0" applyFont="1" applyFill="1" applyBorder="1" applyAlignment="1">
      <alignment horizontal="center" vertical="center"/>
    </xf>
    <xf numFmtId="0" fontId="8" fillId="30" borderId="13" xfId="0" applyFont="1" applyFill="1" applyBorder="1" applyAlignment="1">
      <alignment horizontal="center" vertical="center" wrapText="1"/>
    </xf>
    <xf numFmtId="9" fontId="8" fillId="30" borderId="0" xfId="0" applyNumberFormat="1" applyFont="1" applyFill="1" applyAlignment="1">
      <alignment horizontal="center" vertical="center"/>
    </xf>
    <xf numFmtId="9" fontId="8" fillId="30" borderId="13" xfId="0" applyNumberFormat="1" applyFont="1" applyFill="1" applyBorder="1" applyAlignment="1">
      <alignment horizontal="center" vertical="center" wrapText="1"/>
    </xf>
    <xf numFmtId="9" fontId="8" fillId="30" borderId="13" xfId="0" applyNumberFormat="1" applyFont="1" applyFill="1" applyBorder="1" applyAlignment="1">
      <alignment horizontal="center" vertical="center"/>
    </xf>
    <xf numFmtId="0" fontId="5" fillId="30" borderId="4" xfId="0" applyFont="1" applyFill="1" applyBorder="1" applyAlignment="1" applyProtection="1">
      <alignment horizontal="center" vertical="center"/>
      <protection locked="0"/>
    </xf>
    <xf numFmtId="0" fontId="9" fillId="66" borderId="13" xfId="0" applyFont="1" applyFill="1" applyBorder="1" applyAlignment="1">
      <alignment horizontal="center" vertical="center" wrapText="1"/>
    </xf>
    <xf numFmtId="0" fontId="8" fillId="66" borderId="13" xfId="0" applyFont="1" applyFill="1" applyBorder="1" applyAlignment="1">
      <alignment horizontal="center" vertical="center"/>
    </xf>
    <xf numFmtId="0" fontId="8" fillId="66" borderId="13" xfId="0" applyFont="1" applyFill="1" applyBorder="1" applyAlignment="1">
      <alignment vertical="center" wrapText="1"/>
    </xf>
    <xf numFmtId="0" fontId="8" fillId="66" borderId="13" xfId="0" applyFont="1" applyFill="1" applyBorder="1" applyAlignment="1">
      <alignment vertical="center"/>
    </xf>
    <xf numFmtId="0" fontId="8" fillId="66" borderId="13" xfId="0" applyFont="1" applyFill="1" applyBorder="1"/>
    <xf numFmtId="0" fontId="8" fillId="66" borderId="13" xfId="0" applyFont="1" applyFill="1" applyBorder="1" applyAlignment="1">
      <alignment horizontal="left" vertical="center" wrapText="1"/>
    </xf>
    <xf numFmtId="0" fontId="8" fillId="66" borderId="13" xfId="0" applyFont="1" applyFill="1" applyBorder="1" applyAlignment="1">
      <alignment horizontal="left" vertical="center"/>
    </xf>
    <xf numFmtId="0" fontId="71" fillId="66" borderId="13" xfId="0" applyFont="1" applyFill="1" applyBorder="1" applyAlignment="1">
      <alignment horizontal="center" vertical="center" wrapText="1"/>
    </xf>
    <xf numFmtId="0" fontId="10" fillId="66" borderId="13" xfId="0" applyFont="1" applyFill="1" applyBorder="1" applyAlignment="1">
      <alignment horizontal="center" vertical="center" wrapText="1"/>
    </xf>
    <xf numFmtId="0" fontId="5" fillId="8" borderId="13" xfId="0" applyFont="1" applyFill="1" applyBorder="1" applyAlignment="1" applyProtection="1">
      <alignment horizontal="left" vertical="center" wrapText="1"/>
      <protection locked="0"/>
    </xf>
    <xf numFmtId="0" fontId="5" fillId="8" borderId="4" xfId="0" applyFont="1" applyFill="1" applyBorder="1" applyAlignment="1">
      <alignment horizontal="left" vertical="center" wrapText="1"/>
    </xf>
    <xf numFmtId="0" fontId="5" fillId="8" borderId="4" xfId="0" applyFont="1" applyFill="1" applyBorder="1" applyAlignment="1">
      <alignment horizontal="left" vertical="center"/>
    </xf>
    <xf numFmtId="0" fontId="5" fillId="8" borderId="4" xfId="0" applyFont="1" applyFill="1" applyBorder="1" applyAlignment="1">
      <alignment horizontal="center" vertical="center"/>
    </xf>
    <xf numFmtId="9" fontId="9" fillId="8" borderId="4" xfId="0" applyNumberFormat="1" applyFont="1" applyFill="1" applyBorder="1" applyAlignment="1">
      <alignment vertical="center"/>
    </xf>
    <xf numFmtId="0" fontId="9" fillId="8" borderId="4" xfId="0" applyFont="1" applyFill="1" applyBorder="1" applyAlignment="1">
      <alignment horizontal="center" vertical="center"/>
    </xf>
    <xf numFmtId="0" fontId="9" fillId="8" borderId="4" xfId="0" applyFont="1" applyFill="1" applyBorder="1" applyAlignment="1">
      <alignment horizontal="center" vertical="center" wrapText="1"/>
    </xf>
    <xf numFmtId="9" fontId="69" fillId="8" borderId="4" xfId="2" applyFont="1" applyFill="1" applyBorder="1" applyAlignment="1">
      <alignment vertical="center"/>
    </xf>
    <xf numFmtId="9" fontId="5" fillId="8" borderId="4" xfId="0" applyNumberFormat="1" applyFont="1" applyFill="1" applyBorder="1" applyAlignment="1" applyProtection="1">
      <alignment horizontal="center" vertical="center"/>
      <protection locked="0"/>
    </xf>
    <xf numFmtId="0" fontId="8" fillId="8" borderId="4" xfId="0" applyFont="1" applyFill="1" applyBorder="1"/>
    <xf numFmtId="9" fontId="8" fillId="8" borderId="3" xfId="0" applyNumberFormat="1" applyFont="1" applyFill="1" applyBorder="1"/>
    <xf numFmtId="0" fontId="8" fillId="8" borderId="3" xfId="0" applyFont="1" applyFill="1" applyBorder="1" applyAlignment="1">
      <alignment wrapText="1"/>
    </xf>
    <xf numFmtId="0" fontId="8" fillId="8" borderId="3" xfId="0" applyFont="1" applyFill="1" applyBorder="1"/>
    <xf numFmtId="0" fontId="8" fillId="8" borderId="10" xfId="0" applyFont="1" applyFill="1" applyBorder="1"/>
    <xf numFmtId="9" fontId="8" fillId="8" borderId="11" xfId="0" applyNumberFormat="1" applyFont="1" applyFill="1" applyBorder="1"/>
    <xf numFmtId="0" fontId="8" fillId="8" borderId="11" xfId="0" applyFont="1" applyFill="1" applyBorder="1" applyAlignment="1">
      <alignment wrapText="1"/>
    </xf>
    <xf numFmtId="0" fontId="8" fillId="8" borderId="11" xfId="0" applyFont="1" applyFill="1" applyBorder="1"/>
    <xf numFmtId="9" fontId="8" fillId="8" borderId="11" xfId="2" applyFont="1" applyFill="1" applyBorder="1"/>
    <xf numFmtId="0" fontId="10" fillId="8" borderId="0" xfId="0" applyFont="1" applyFill="1" applyAlignment="1">
      <alignment wrapText="1"/>
    </xf>
    <xf numFmtId="9" fontId="5" fillId="8" borderId="4" xfId="1" applyNumberFormat="1" applyFont="1" applyFill="1" applyBorder="1" applyAlignment="1">
      <alignment horizontal="center" vertical="center"/>
    </xf>
    <xf numFmtId="9" fontId="5" fillId="8" borderId="4" xfId="2" applyFont="1" applyFill="1" applyBorder="1" applyAlignment="1">
      <alignment horizontal="center" vertical="center"/>
    </xf>
    <xf numFmtId="9" fontId="5" fillId="8" borderId="4" xfId="14" applyNumberFormat="1" applyFont="1" applyFill="1" applyBorder="1" applyAlignment="1">
      <alignment horizontal="center" vertical="center"/>
    </xf>
    <xf numFmtId="9" fontId="5" fillId="8" borderId="4" xfId="0" applyNumberFormat="1" applyFont="1" applyFill="1" applyBorder="1" applyAlignment="1" applyProtection="1">
      <alignment horizontal="center" vertical="center" wrapText="1"/>
      <protection locked="0"/>
    </xf>
    <xf numFmtId="9" fontId="5" fillId="8" borderId="4" xfId="0" applyNumberFormat="1" applyFont="1" applyFill="1" applyBorder="1" applyAlignment="1">
      <alignment horizontal="center" vertical="center" wrapText="1"/>
    </xf>
    <xf numFmtId="0" fontId="5" fillId="8" borderId="4" xfId="0" applyFont="1" applyFill="1" applyBorder="1" applyAlignment="1" applyProtection="1">
      <alignment vertical="center" wrapText="1"/>
      <protection locked="0"/>
    </xf>
    <xf numFmtId="9" fontId="5" fillId="8" borderId="115" xfId="0" applyNumberFormat="1" applyFont="1" applyFill="1" applyBorder="1" applyAlignment="1">
      <alignment vertical="center"/>
    </xf>
    <xf numFmtId="0" fontId="5" fillId="8" borderId="115" xfId="0" applyFont="1" applyFill="1" applyBorder="1" applyAlignment="1">
      <alignment vertical="center" wrapText="1"/>
    </xf>
    <xf numFmtId="9" fontId="8" fillId="68" borderId="13" xfId="2" applyFont="1" applyFill="1" applyBorder="1" applyAlignment="1">
      <alignment horizontal="center" vertical="center"/>
    </xf>
    <xf numFmtId="0" fontId="9" fillId="68" borderId="46" xfId="0" applyFont="1" applyFill="1" applyBorder="1" applyAlignment="1">
      <alignment horizontal="center" vertical="center" wrapText="1"/>
    </xf>
    <xf numFmtId="0" fontId="9" fillId="8" borderId="4" xfId="0" applyFont="1" applyFill="1" applyBorder="1" applyAlignment="1">
      <alignment vertical="center"/>
    </xf>
    <xf numFmtId="0" fontId="9" fillId="68" borderId="50" xfId="0" applyFont="1" applyFill="1" applyBorder="1" applyAlignment="1">
      <alignment horizontal="center" vertical="center" wrapText="1"/>
    </xf>
    <xf numFmtId="0" fontId="9" fillId="68" borderId="50" xfId="0" applyFont="1" applyFill="1" applyBorder="1" applyAlignment="1">
      <alignment horizontal="left" vertical="center" wrapText="1"/>
    </xf>
    <xf numFmtId="9" fontId="9" fillId="68" borderId="13" xfId="2" applyFont="1" applyFill="1" applyBorder="1" applyAlignment="1">
      <alignment horizontal="center" vertical="center"/>
    </xf>
    <xf numFmtId="0" fontId="9" fillId="68" borderId="13" xfId="0" applyFont="1" applyFill="1" applyBorder="1" applyAlignment="1">
      <alignment horizontal="left" vertical="center" wrapText="1"/>
    </xf>
    <xf numFmtId="0" fontId="8" fillId="68" borderId="13" xfId="0" applyFont="1" applyFill="1" applyBorder="1" applyAlignment="1">
      <alignment horizontal="left" vertical="center" wrapText="1"/>
    </xf>
    <xf numFmtId="9" fontId="5" fillId="8" borderId="13" xfId="2" applyFont="1" applyFill="1" applyBorder="1" applyAlignment="1" applyProtection="1">
      <alignment vertical="center"/>
      <protection locked="0"/>
    </xf>
    <xf numFmtId="0" fontId="5" fillId="8" borderId="13" xfId="0" applyFont="1" applyFill="1" applyBorder="1" applyAlignment="1" applyProtection="1">
      <alignment vertical="center" wrapText="1"/>
      <protection locked="0"/>
    </xf>
    <xf numFmtId="166" fontId="5" fillId="8" borderId="13" xfId="2" applyNumberFormat="1" applyFont="1" applyFill="1" applyBorder="1" applyAlignment="1" applyProtection="1">
      <alignment vertical="center"/>
      <protection locked="0"/>
    </xf>
    <xf numFmtId="9" fontId="12" fillId="8" borderId="13" xfId="2" applyFont="1" applyFill="1" applyBorder="1" applyAlignment="1" applyProtection="1">
      <alignment horizontal="center" vertical="center"/>
      <protection locked="0"/>
    </xf>
    <xf numFmtId="49" fontId="5" fillId="8" borderId="13" xfId="0" applyNumberFormat="1" applyFont="1" applyFill="1" applyBorder="1" applyAlignment="1" applyProtection="1">
      <alignment horizontal="justify" vertical="center" wrapText="1"/>
      <protection locked="0"/>
    </xf>
    <xf numFmtId="0" fontId="5" fillId="8" borderId="13" xfId="0" applyFont="1" applyFill="1" applyBorder="1" applyAlignment="1" applyProtection="1">
      <alignment horizontal="center" vertical="center"/>
      <protection locked="0"/>
    </xf>
    <xf numFmtId="0" fontId="8" fillId="8" borderId="4" xfId="0" applyFont="1" applyFill="1" applyBorder="1" applyAlignment="1" applyProtection="1">
      <alignment horizontal="justify" vertical="center" wrapText="1"/>
      <protection locked="0"/>
    </xf>
    <xf numFmtId="0" fontId="5" fillId="8" borderId="0" xfId="0" applyFont="1" applyFill="1" applyAlignment="1" applyProtection="1">
      <alignment vertical="center" wrapText="1"/>
      <protection locked="0"/>
    </xf>
    <xf numFmtId="0" fontId="9" fillId="8" borderId="4" xfId="0" applyFont="1" applyFill="1" applyBorder="1" applyAlignment="1">
      <alignment vertical="center" wrapText="1"/>
    </xf>
    <xf numFmtId="0" fontId="4" fillId="11" borderId="160" xfId="3" applyFont="1" applyFill="1" applyBorder="1" applyAlignment="1" applyProtection="1">
      <alignment horizontal="center" vertical="center" wrapText="1"/>
      <protection locked="0"/>
    </xf>
    <xf numFmtId="0" fontId="5" fillId="8" borderId="42" xfId="0" applyFont="1" applyFill="1" applyBorder="1" applyAlignment="1" applyProtection="1">
      <alignment vertical="center"/>
      <protection locked="0"/>
    </xf>
    <xf numFmtId="9" fontId="5" fillId="8" borderId="10" xfId="2" applyFont="1" applyFill="1" applyBorder="1" applyAlignment="1">
      <alignment vertical="center"/>
    </xf>
    <xf numFmtId="0" fontId="5" fillId="8" borderId="42" xfId="0" applyFont="1" applyFill="1" applyBorder="1" applyAlignment="1" applyProtection="1">
      <alignment horizontal="left" vertical="center" wrapText="1"/>
      <protection locked="0"/>
    </xf>
    <xf numFmtId="0" fontId="5" fillId="8" borderId="10" xfId="0" applyFont="1" applyFill="1" applyBorder="1" applyAlignment="1">
      <alignment horizontal="left" vertical="center" wrapText="1"/>
    </xf>
    <xf numFmtId="0" fontId="5" fillId="8" borderId="10" xfId="0" applyFont="1" applyFill="1" applyBorder="1" applyAlignment="1">
      <alignment vertical="center"/>
    </xf>
    <xf numFmtId="9" fontId="5" fillId="8" borderId="10" xfId="0" applyNumberFormat="1" applyFont="1" applyFill="1" applyBorder="1" applyAlignment="1">
      <alignment vertical="center"/>
    </xf>
    <xf numFmtId="0" fontId="5" fillId="8" borderId="10" xfId="0" applyFont="1" applyFill="1" applyBorder="1" applyAlignment="1">
      <alignment vertical="center" wrapText="1"/>
    </xf>
    <xf numFmtId="0" fontId="4" fillId="8" borderId="4" xfId="3" applyFont="1" applyFill="1" applyBorder="1" applyAlignment="1" applyProtection="1">
      <alignment horizontal="center" vertical="center" wrapText="1"/>
      <protection locked="0"/>
    </xf>
    <xf numFmtId="0" fontId="4" fillId="70" borderId="151" xfId="3" applyFont="1" applyFill="1" applyBorder="1" applyAlignment="1" applyProtection="1">
      <alignment horizontal="center" vertical="center" wrapText="1"/>
      <protection locked="0"/>
    </xf>
    <xf numFmtId="0" fontId="4" fillId="70" borderId="152" xfId="3" applyFont="1" applyFill="1" applyBorder="1" applyAlignment="1" applyProtection="1">
      <alignment horizontal="center" vertical="center" wrapText="1"/>
      <protection locked="0"/>
    </xf>
    <xf numFmtId="0" fontId="5" fillId="70" borderId="4" xfId="0" applyFont="1" applyFill="1" applyBorder="1" applyAlignment="1">
      <alignment horizontal="center" vertical="center"/>
    </xf>
    <xf numFmtId="0" fontId="9" fillId="70" borderId="4" xfId="0" applyFont="1" applyFill="1" applyBorder="1" applyAlignment="1">
      <alignment horizontal="center" vertical="center"/>
    </xf>
    <xf numFmtId="0" fontId="8" fillId="71" borderId="4" xfId="0" applyFont="1" applyFill="1" applyBorder="1" applyAlignment="1">
      <alignment vertical="center"/>
    </xf>
    <xf numFmtId="0" fontId="8" fillId="71" borderId="4" xfId="0" applyFont="1" applyFill="1" applyBorder="1" applyAlignment="1">
      <alignment horizontal="center" vertical="center"/>
    </xf>
    <xf numFmtId="0" fontId="8" fillId="71" borderId="4" xfId="0" applyFont="1" applyFill="1" applyBorder="1" applyAlignment="1">
      <alignment horizontal="center" vertical="center" wrapText="1"/>
    </xf>
    <xf numFmtId="0" fontId="8" fillId="16" borderId="13" xfId="0" applyFont="1" applyFill="1" applyBorder="1" applyAlignment="1">
      <alignment horizontal="center" vertical="center" wrapText="1"/>
    </xf>
    <xf numFmtId="9" fontId="8" fillId="71" borderId="4" xfId="2" applyFont="1" applyFill="1" applyBorder="1" applyAlignment="1">
      <alignment horizontal="center" vertical="center"/>
    </xf>
    <xf numFmtId="0" fontId="5" fillId="6" borderId="4" xfId="0" applyFont="1" applyFill="1" applyBorder="1" applyAlignment="1">
      <alignment vertical="center" wrapText="1"/>
    </xf>
    <xf numFmtId="0" fontId="60" fillId="6" borderId="4" xfId="3" applyFont="1" applyFill="1" applyBorder="1" applyAlignment="1">
      <alignment horizontal="center" vertical="center" wrapText="1"/>
    </xf>
    <xf numFmtId="0" fontId="60" fillId="6" borderId="1" xfId="3" applyFont="1" applyFill="1" applyBorder="1" applyAlignment="1">
      <alignment horizontal="center" vertical="center" wrapText="1"/>
    </xf>
    <xf numFmtId="9" fontId="5" fillId="6" borderId="13" xfId="0" applyNumberFormat="1" applyFont="1" applyFill="1" applyBorder="1" applyAlignment="1" applyProtection="1">
      <alignment vertical="center"/>
      <protection locked="0"/>
    </xf>
    <xf numFmtId="0" fontId="5" fillId="6" borderId="13" xfId="0" applyFont="1" applyFill="1" applyBorder="1" applyAlignment="1" applyProtection="1">
      <alignment vertical="center"/>
      <protection locked="0"/>
    </xf>
    <xf numFmtId="9" fontId="5" fillId="6" borderId="13" xfId="0" applyNumberFormat="1" applyFont="1" applyFill="1" applyBorder="1" applyAlignment="1" applyProtection="1">
      <alignment horizontal="center" vertical="center"/>
      <protection locked="0"/>
    </xf>
    <xf numFmtId="0" fontId="5" fillId="6" borderId="13" xfId="0" applyFont="1" applyFill="1" applyBorder="1" applyAlignment="1" applyProtection="1">
      <alignment vertical="center" wrapText="1"/>
      <protection locked="0"/>
    </xf>
    <xf numFmtId="9" fontId="5" fillId="6" borderId="13" xfId="2" applyFont="1" applyFill="1" applyBorder="1" applyAlignment="1" applyProtection="1">
      <alignment horizontal="center" vertical="center"/>
      <protection locked="0"/>
    </xf>
    <xf numFmtId="9" fontId="5" fillId="6" borderId="3" xfId="0" applyNumberFormat="1" applyFont="1" applyFill="1" applyBorder="1" applyAlignment="1" applyProtection="1">
      <alignment vertical="center"/>
      <protection locked="0"/>
    </xf>
    <xf numFmtId="9" fontId="5" fillId="6" borderId="4" xfId="0" applyNumberFormat="1" applyFont="1" applyFill="1" applyBorder="1" applyAlignment="1" applyProtection="1">
      <alignment vertical="center"/>
      <protection locked="0"/>
    </xf>
    <xf numFmtId="0" fontId="5" fillId="6" borderId="4" xfId="0" applyFont="1" applyFill="1" applyBorder="1" applyAlignment="1" applyProtection="1">
      <alignment vertical="center" wrapText="1"/>
      <protection locked="0"/>
    </xf>
    <xf numFmtId="0" fontId="8" fillId="6" borderId="13" xfId="0" applyFont="1" applyFill="1" applyBorder="1" applyAlignment="1" applyProtection="1">
      <alignment vertical="center"/>
      <protection locked="0"/>
    </xf>
    <xf numFmtId="0" fontId="5" fillId="6" borderId="13" xfId="0" applyFont="1" applyFill="1" applyBorder="1" applyAlignment="1" applyProtection="1">
      <alignment horizontal="center" vertical="center" wrapText="1"/>
      <protection locked="0"/>
    </xf>
    <xf numFmtId="9" fontId="8" fillId="6" borderId="13" xfId="2" applyFont="1" applyFill="1" applyBorder="1" applyAlignment="1" applyProtection="1">
      <alignment horizontal="center" vertical="center"/>
      <protection locked="0"/>
    </xf>
    <xf numFmtId="9" fontId="5" fillId="6" borderId="4" xfId="0" applyNumberFormat="1" applyFont="1" applyFill="1" applyBorder="1" applyAlignment="1">
      <alignment vertical="center"/>
    </xf>
    <xf numFmtId="9" fontId="5" fillId="6" borderId="4" xfId="2" applyFont="1" applyFill="1" applyBorder="1" applyAlignment="1">
      <alignment vertical="center"/>
    </xf>
    <xf numFmtId="0" fontId="5" fillId="6" borderId="4" xfId="0" applyFont="1" applyFill="1" applyBorder="1" applyAlignment="1">
      <alignment horizontal="center" vertical="center" wrapText="1"/>
    </xf>
    <xf numFmtId="0" fontId="5" fillId="6" borderId="4" xfId="0" applyFont="1" applyFill="1" applyBorder="1" applyAlignment="1" applyProtection="1">
      <alignment horizontal="center" vertical="center" wrapText="1"/>
      <protection locked="0"/>
    </xf>
    <xf numFmtId="0" fontId="5" fillId="6" borderId="13" xfId="0" applyFont="1" applyFill="1" applyBorder="1" applyAlignment="1" applyProtection="1">
      <alignment horizontal="center" vertical="center"/>
      <protection locked="0"/>
    </xf>
    <xf numFmtId="9" fontId="5" fillId="6" borderId="120" xfId="0" applyNumberFormat="1" applyFont="1" applyFill="1" applyBorder="1" applyAlignment="1">
      <alignment vertical="center"/>
    </xf>
    <xf numFmtId="0" fontId="0" fillId="2" borderId="4" xfId="0" applyFill="1" applyBorder="1" applyAlignment="1">
      <alignment horizontal="center" vertical="center" wrapText="1"/>
    </xf>
    <xf numFmtId="9" fontId="0" fillId="0" borderId="0" xfId="2" applyFont="1" applyAlignment="1">
      <alignment horizontal="center" vertical="center"/>
    </xf>
    <xf numFmtId="0" fontId="8" fillId="6" borderId="4" xfId="0" applyFont="1" applyFill="1" applyBorder="1" applyAlignment="1" applyProtection="1">
      <alignment horizontal="justify" vertical="center" wrapText="1"/>
      <protection locked="0"/>
    </xf>
    <xf numFmtId="9" fontId="12" fillId="6" borderId="13" xfId="2" applyFont="1" applyFill="1" applyBorder="1" applyAlignment="1" applyProtection="1">
      <alignment horizontal="center" vertical="center"/>
      <protection locked="0"/>
    </xf>
    <xf numFmtId="49" fontId="5" fillId="6" borderId="13" xfId="0" applyNumberFormat="1" applyFont="1" applyFill="1" applyBorder="1" applyAlignment="1" applyProtection="1">
      <alignment horizontal="justify" vertical="center" wrapText="1"/>
      <protection locked="0"/>
    </xf>
    <xf numFmtId="0" fontId="13" fillId="6" borderId="13" xfId="0" applyFont="1" applyFill="1" applyBorder="1" applyAlignment="1" applyProtection="1">
      <alignment vertical="center" wrapText="1"/>
      <protection locked="0"/>
    </xf>
    <xf numFmtId="0" fontId="8" fillId="72" borderId="4" xfId="0" applyFont="1" applyFill="1" applyBorder="1" applyAlignment="1">
      <alignment horizontal="center" vertical="center"/>
    </xf>
    <xf numFmtId="0" fontId="9" fillId="72" borderId="4" xfId="0" applyFont="1" applyFill="1" applyBorder="1" applyAlignment="1">
      <alignment horizontal="center" vertical="center"/>
    </xf>
    <xf numFmtId="0" fontId="9" fillId="71" borderId="4" xfId="0" applyFont="1" applyFill="1" applyBorder="1" applyAlignment="1">
      <alignment horizontal="center" vertical="center"/>
    </xf>
    <xf numFmtId="0" fontId="9" fillId="71" borderId="4" xfId="0" applyFont="1" applyFill="1" applyBorder="1" applyAlignment="1">
      <alignment vertical="center"/>
    </xf>
    <xf numFmtId="9" fontId="4" fillId="70" borderId="151" xfId="2" applyFont="1" applyFill="1" applyBorder="1" applyAlignment="1" applyProtection="1">
      <alignment horizontal="center" vertical="center" wrapText="1"/>
      <protection locked="0"/>
    </xf>
    <xf numFmtId="9" fontId="9" fillId="71" borderId="4" xfId="2" applyFont="1" applyFill="1" applyBorder="1" applyAlignment="1">
      <alignment horizontal="center" vertical="center"/>
    </xf>
    <xf numFmtId="0" fontId="8" fillId="64" borderId="10" xfId="0" applyFont="1" applyFill="1" applyBorder="1" applyAlignment="1" applyProtection="1">
      <alignment horizontal="center" vertical="center" wrapText="1"/>
      <protection locked="0"/>
    </xf>
    <xf numFmtId="0" fontId="8" fillId="64" borderId="10" xfId="0" applyFont="1" applyFill="1" applyBorder="1" applyAlignment="1">
      <alignment horizontal="center" vertical="center" wrapText="1"/>
    </xf>
    <xf numFmtId="0" fontId="8" fillId="72" borderId="4" xfId="0" applyFont="1" applyFill="1" applyBorder="1" applyAlignment="1">
      <alignment vertical="center"/>
    </xf>
    <xf numFmtId="0" fontId="12" fillId="0" borderId="0" xfId="0" applyFont="1" applyAlignment="1" applyProtection="1">
      <alignment horizontal="center" vertical="center"/>
      <protection locked="0"/>
    </xf>
    <xf numFmtId="0" fontId="12" fillId="0" borderId="0" xfId="0" applyFont="1" applyAlignment="1" applyProtection="1">
      <alignment horizontal="center" vertical="center" wrapText="1"/>
      <protection locked="0"/>
    </xf>
    <xf numFmtId="43" fontId="0" fillId="0" borderId="0" xfId="1" applyFont="1" applyAlignment="1">
      <alignment vertical="center"/>
    </xf>
    <xf numFmtId="9" fontId="12" fillId="0" borderId="0" xfId="2" applyFont="1" applyAlignment="1" applyProtection="1">
      <alignment horizontal="center" vertical="center"/>
      <protection locked="0"/>
    </xf>
    <xf numFmtId="9" fontId="5" fillId="0" borderId="0" xfId="0" applyNumberFormat="1" applyFont="1" applyAlignment="1">
      <alignment vertical="center"/>
    </xf>
    <xf numFmtId="9" fontId="5" fillId="73" borderId="4" xfId="0" applyNumberFormat="1" applyFont="1" applyFill="1" applyBorder="1" applyAlignment="1">
      <alignment vertical="center"/>
    </xf>
    <xf numFmtId="0" fontId="8" fillId="74" borderId="4" xfId="0" applyFont="1" applyFill="1" applyBorder="1" applyAlignment="1">
      <alignment horizontal="center" vertical="center"/>
    </xf>
    <xf numFmtId="9" fontId="8" fillId="74" borderId="4" xfId="0" applyNumberFormat="1" applyFont="1" applyFill="1" applyBorder="1" applyAlignment="1">
      <alignment horizontal="center" vertical="center"/>
    </xf>
    <xf numFmtId="0" fontId="8" fillId="74" borderId="4" xfId="0" applyFont="1" applyFill="1" applyBorder="1" applyAlignment="1">
      <alignment horizontal="center" vertical="center" wrapText="1"/>
    </xf>
    <xf numFmtId="0" fontId="8" fillId="74" borderId="4" xfId="0" applyFont="1" applyFill="1" applyBorder="1" applyAlignment="1">
      <alignment vertical="center"/>
    </xf>
    <xf numFmtId="0" fontId="8" fillId="74" borderId="4" xfId="0" applyFont="1" applyFill="1" applyBorder="1" applyAlignment="1">
      <alignment vertical="center" wrapText="1"/>
    </xf>
    <xf numFmtId="0" fontId="5" fillId="73" borderId="4" xfId="0" applyFont="1" applyFill="1" applyBorder="1" applyAlignment="1">
      <alignment horizontal="center" vertical="center" wrapText="1"/>
    </xf>
    <xf numFmtId="9" fontId="8" fillId="74" borderId="4" xfId="0" applyNumberFormat="1" applyFont="1" applyFill="1" applyBorder="1" applyAlignment="1">
      <alignment vertical="center"/>
    </xf>
    <xf numFmtId="9" fontId="8" fillId="74" borderId="4" xfId="2" applyFont="1" applyFill="1" applyBorder="1" applyAlignment="1">
      <alignment horizontal="center" vertical="center"/>
    </xf>
    <xf numFmtId="0" fontId="5" fillId="73" borderId="4" xfId="0" applyFont="1" applyFill="1" applyBorder="1" applyAlignment="1">
      <alignment vertical="center"/>
    </xf>
    <xf numFmtId="0" fontId="5" fillId="73" borderId="4" xfId="0" applyFont="1" applyFill="1" applyBorder="1" applyAlignment="1">
      <alignment horizontal="center" vertical="center"/>
    </xf>
    <xf numFmtId="9" fontId="8" fillId="74" borderId="7" xfId="0" applyNumberFormat="1" applyFont="1" applyFill="1" applyBorder="1" applyAlignment="1">
      <alignment horizontal="center" vertical="center"/>
    </xf>
    <xf numFmtId="0" fontId="8" fillId="74" borderId="7" xfId="0" applyFont="1" applyFill="1" applyBorder="1" applyAlignment="1">
      <alignment horizontal="center" vertical="center" wrapText="1"/>
    </xf>
    <xf numFmtId="0" fontId="8" fillId="74" borderId="7" xfId="0" applyFont="1" applyFill="1" applyBorder="1" applyAlignment="1">
      <alignment vertical="center" wrapText="1"/>
    </xf>
    <xf numFmtId="0" fontId="8" fillId="74" borderId="7" xfId="0" applyFont="1" applyFill="1" applyBorder="1" applyAlignment="1">
      <alignment vertical="center"/>
    </xf>
    <xf numFmtId="0" fontId="8" fillId="74" borderId="9" xfId="0" applyFont="1" applyFill="1" applyBorder="1" applyAlignment="1">
      <alignment vertical="center"/>
    </xf>
    <xf numFmtId="0" fontId="8" fillId="74" borderId="10" xfId="0" applyFont="1" applyFill="1" applyBorder="1" applyAlignment="1">
      <alignment vertical="center"/>
    </xf>
    <xf numFmtId="0" fontId="8" fillId="74" borderId="10" xfId="0" applyFont="1" applyFill="1" applyBorder="1" applyAlignment="1">
      <alignment horizontal="center" vertical="center" wrapText="1"/>
    </xf>
    <xf numFmtId="9" fontId="5" fillId="73" borderId="4" xfId="2" applyFont="1" applyFill="1" applyBorder="1" applyAlignment="1">
      <alignment horizontal="center" vertical="center"/>
    </xf>
    <xf numFmtId="9" fontId="5" fillId="73" borderId="4" xfId="0" applyNumberFormat="1" applyFont="1" applyFill="1" applyBorder="1" applyAlignment="1">
      <alignment vertical="center" wrapText="1"/>
    </xf>
    <xf numFmtId="9" fontId="5" fillId="73" borderId="4" xfId="2" applyFont="1" applyFill="1" applyBorder="1" applyAlignment="1">
      <alignment vertical="center"/>
    </xf>
    <xf numFmtId="0" fontId="5" fillId="73" borderId="4" xfId="0" applyFont="1" applyFill="1" applyBorder="1" applyAlignment="1">
      <alignment vertical="center" wrapText="1"/>
    </xf>
    <xf numFmtId="9" fontId="8" fillId="74" borderId="4" xfId="2" applyFont="1" applyFill="1" applyBorder="1" applyAlignment="1">
      <alignment vertical="center"/>
    </xf>
    <xf numFmtId="9" fontId="8" fillId="73" borderId="4" xfId="2" applyFont="1" applyFill="1" applyBorder="1" applyAlignment="1">
      <alignment horizontal="center" vertical="center"/>
    </xf>
    <xf numFmtId="0" fontId="8" fillId="73" borderId="4" xfId="0" applyFont="1" applyFill="1" applyBorder="1" applyAlignment="1">
      <alignment horizontal="center" vertical="center" wrapText="1"/>
    </xf>
    <xf numFmtId="0" fontId="8" fillId="73" borderId="4" xfId="0" applyFont="1" applyFill="1" applyBorder="1" applyAlignment="1">
      <alignment vertical="center" wrapText="1"/>
    </xf>
    <xf numFmtId="0" fontId="8" fillId="74" borderId="13" xfId="0" applyFont="1" applyFill="1" applyBorder="1" applyAlignment="1">
      <alignment vertical="center" wrapText="1"/>
    </xf>
    <xf numFmtId="0" fontId="10" fillId="74" borderId="13" xfId="0" applyFont="1" applyFill="1" applyBorder="1" applyAlignment="1">
      <alignment horizontal="center" vertical="center" wrapText="1"/>
    </xf>
    <xf numFmtId="9" fontId="8" fillId="73" borderId="7" xfId="2" applyFont="1" applyFill="1" applyBorder="1" applyAlignment="1">
      <alignment horizontal="center" vertical="center"/>
    </xf>
    <xf numFmtId="0" fontId="10" fillId="74" borderId="46" xfId="0" applyFont="1" applyFill="1" applyBorder="1" applyAlignment="1">
      <alignment horizontal="center" vertical="center" wrapText="1"/>
    </xf>
    <xf numFmtId="9" fontId="5" fillId="73" borderId="4" xfId="2" applyFont="1" applyFill="1" applyBorder="1" applyAlignment="1" applyProtection="1">
      <alignment vertical="center"/>
      <protection locked="0"/>
    </xf>
    <xf numFmtId="0" fontId="5" fillId="73" borderId="4" xfId="0" applyFont="1" applyFill="1" applyBorder="1" applyAlignment="1" applyProtection="1">
      <alignment vertical="center"/>
      <protection locked="0"/>
    </xf>
    <xf numFmtId="9" fontId="5" fillId="73" borderId="4" xfId="0" applyNumberFormat="1" applyFont="1" applyFill="1" applyBorder="1" applyAlignment="1">
      <alignment horizontal="center" vertical="center"/>
    </xf>
    <xf numFmtId="9" fontId="8" fillId="73" borderId="10" xfId="2" applyFont="1" applyFill="1" applyBorder="1" applyAlignment="1">
      <alignment horizontal="center" vertical="center"/>
    </xf>
    <xf numFmtId="0" fontId="10" fillId="74" borderId="42" xfId="0" applyFont="1" applyFill="1" applyBorder="1" applyAlignment="1">
      <alignment horizontal="center" vertical="center" wrapText="1"/>
    </xf>
    <xf numFmtId="9" fontId="8" fillId="73" borderId="4" xfId="0" applyNumberFormat="1" applyFont="1" applyFill="1" applyBorder="1" applyAlignment="1">
      <alignment horizontal="center" vertical="center"/>
    </xf>
    <xf numFmtId="0" fontId="8" fillId="73" borderId="4" xfId="0" applyFont="1" applyFill="1" applyBorder="1" applyAlignment="1">
      <alignment horizontal="center" vertical="center"/>
    </xf>
    <xf numFmtId="0" fontId="8" fillId="74" borderId="13" xfId="0" applyFont="1" applyFill="1" applyBorder="1" applyAlignment="1">
      <alignment horizontal="center" vertical="center" wrapText="1"/>
    </xf>
    <xf numFmtId="9" fontId="8" fillId="74" borderId="13" xfId="2" applyFont="1" applyFill="1" applyBorder="1" applyAlignment="1">
      <alignment horizontal="center" vertical="center"/>
    </xf>
    <xf numFmtId="0" fontId="8" fillId="73" borderId="13" xfId="0" applyFont="1" applyFill="1" applyBorder="1" applyAlignment="1">
      <alignment horizontal="center" vertical="center" wrapText="1"/>
    </xf>
    <xf numFmtId="9" fontId="8" fillId="74" borderId="46" xfId="2" applyFont="1" applyFill="1" applyBorder="1" applyAlignment="1">
      <alignment horizontal="center" vertical="center"/>
    </xf>
    <xf numFmtId="9" fontId="8" fillId="73" borderId="4" xfId="2" applyFont="1" applyFill="1" applyBorder="1" applyAlignment="1">
      <alignment vertical="center"/>
    </xf>
    <xf numFmtId="0" fontId="8" fillId="74" borderId="52" xfId="0" applyFont="1" applyFill="1" applyBorder="1" applyAlignment="1">
      <alignment horizontal="center" vertical="center" wrapText="1"/>
    </xf>
    <xf numFmtId="9" fontId="5" fillId="73" borderId="4" xfId="0" applyNumberFormat="1" applyFont="1" applyFill="1" applyBorder="1" applyAlignment="1">
      <alignment horizontal="center" vertical="center" wrapText="1"/>
    </xf>
    <xf numFmtId="9" fontId="12" fillId="73" borderId="13" xfId="2" applyFont="1" applyFill="1" applyBorder="1" applyAlignment="1" applyProtection="1">
      <alignment horizontal="center" vertical="center"/>
      <protection locked="0"/>
    </xf>
    <xf numFmtId="49" fontId="5" fillId="73" borderId="13" xfId="0" applyNumberFormat="1" applyFont="1" applyFill="1" applyBorder="1" applyAlignment="1" applyProtection="1">
      <alignment horizontal="justify" vertical="center" wrapText="1"/>
      <protection locked="0"/>
    </xf>
    <xf numFmtId="0" fontId="5" fillId="73" borderId="13" xfId="0" applyFont="1" applyFill="1" applyBorder="1" applyAlignment="1" applyProtection="1">
      <alignment horizontal="center" vertical="center"/>
      <protection locked="0"/>
    </xf>
    <xf numFmtId="0" fontId="5" fillId="73" borderId="13" xfId="0" applyFont="1" applyFill="1" applyBorder="1" applyAlignment="1" applyProtection="1">
      <alignment vertical="center"/>
      <protection locked="0"/>
    </xf>
    <xf numFmtId="9" fontId="68" fillId="73" borderId="4" xfId="2" applyFont="1" applyFill="1" applyBorder="1" applyAlignment="1" applyProtection="1">
      <alignment horizontal="center" vertical="center" wrapText="1"/>
      <protection locked="0"/>
    </xf>
    <xf numFmtId="0" fontId="8" fillId="73" borderId="4" xfId="0" applyFont="1" applyFill="1" applyBorder="1" applyAlignment="1" applyProtection="1">
      <alignment horizontal="justify" vertical="center" wrapText="1"/>
      <protection locked="0"/>
    </xf>
    <xf numFmtId="0" fontId="8" fillId="74" borderId="4" xfId="0" applyFont="1" applyFill="1" applyBorder="1" applyAlignment="1">
      <alignment horizontal="left" vertical="center" wrapText="1"/>
    </xf>
    <xf numFmtId="0" fontId="8" fillId="74" borderId="4" xfId="0" applyFont="1" applyFill="1" applyBorder="1" applyAlignment="1">
      <alignment vertical="top" wrapText="1"/>
    </xf>
    <xf numFmtId="0" fontId="8" fillId="75" borderId="4" xfId="0" applyFont="1" applyFill="1" applyBorder="1" applyAlignment="1">
      <alignment vertical="center"/>
    </xf>
    <xf numFmtId="0" fontId="8" fillId="76" borderId="4" xfId="0" applyFont="1" applyFill="1" applyBorder="1" applyAlignment="1">
      <alignment vertical="center"/>
    </xf>
    <xf numFmtId="0" fontId="8" fillId="77" borderId="4" xfId="0" applyFont="1" applyFill="1" applyBorder="1" applyAlignment="1">
      <alignment vertical="center"/>
    </xf>
    <xf numFmtId="1" fontId="0" fillId="0" borderId="0" xfId="0" applyNumberFormat="1" applyAlignment="1">
      <alignment vertical="center"/>
    </xf>
    <xf numFmtId="0" fontId="0" fillId="0" borderId="4" xfId="0" applyBorder="1" applyAlignment="1">
      <alignment wrapText="1"/>
    </xf>
    <xf numFmtId="9" fontId="0" fillId="0" borderId="0" xfId="2" applyFont="1" applyAlignment="1">
      <alignment vertical="center"/>
    </xf>
    <xf numFmtId="10" fontId="74" fillId="0" borderId="0" xfId="2" applyNumberFormat="1" applyFont="1" applyAlignment="1">
      <alignment vertical="center"/>
    </xf>
    <xf numFmtId="10" fontId="74" fillId="0" borderId="0" xfId="2" applyNumberFormat="1" applyFont="1" applyAlignment="1">
      <alignment horizontal="center" vertical="center"/>
    </xf>
    <xf numFmtId="0" fontId="0" fillId="55" borderId="0" xfId="0" applyFill="1" applyAlignment="1">
      <alignment vertical="center"/>
    </xf>
    <xf numFmtId="164" fontId="8" fillId="55" borderId="13" xfId="0" applyNumberFormat="1" applyFont="1" applyFill="1" applyBorder="1" applyAlignment="1" applyProtection="1">
      <alignment horizontal="center" vertical="center" wrapText="1"/>
      <protection locked="0"/>
    </xf>
    <xf numFmtId="0" fontId="8" fillId="55" borderId="13" xfId="0" applyFont="1" applyFill="1" applyBorder="1" applyAlignment="1" applyProtection="1">
      <alignment horizontal="center" vertical="center" wrapText="1"/>
      <protection locked="0"/>
    </xf>
    <xf numFmtId="0" fontId="8" fillId="55" borderId="4" xfId="0" applyFont="1" applyFill="1" applyBorder="1" applyAlignment="1">
      <alignment horizontal="center" vertical="center" wrapText="1"/>
    </xf>
    <xf numFmtId="0" fontId="8" fillId="55" borderId="4" xfId="0" applyFont="1" applyFill="1" applyBorder="1" applyAlignment="1" applyProtection="1">
      <alignment horizontal="center" vertical="center" wrapText="1"/>
      <protection locked="0"/>
    </xf>
    <xf numFmtId="43" fontId="12" fillId="0" borderId="0" xfId="1" applyFont="1" applyAlignment="1" applyProtection="1">
      <alignment horizontal="center" vertical="center"/>
      <protection locked="0"/>
    </xf>
    <xf numFmtId="43" fontId="12" fillId="0" borderId="0" xfId="0" applyNumberFormat="1" applyFont="1" applyAlignment="1" applyProtection="1">
      <alignment horizontal="center" vertical="center"/>
      <protection locked="0"/>
    </xf>
    <xf numFmtId="43" fontId="0" fillId="0" borderId="0" xfId="0" applyNumberFormat="1" applyAlignment="1">
      <alignment horizontal="center" vertical="center"/>
    </xf>
    <xf numFmtId="43" fontId="0" fillId="8" borderId="0" xfId="1" applyFont="1" applyFill="1" applyAlignment="1">
      <alignment vertical="center"/>
    </xf>
    <xf numFmtId="164" fontId="8" fillId="8" borderId="42" xfId="0" applyNumberFormat="1" applyFont="1" applyFill="1" applyBorder="1" applyAlignment="1" applyProtection="1">
      <alignment horizontal="center" vertical="center" wrapText="1"/>
      <protection locked="0"/>
    </xf>
    <xf numFmtId="164" fontId="8" fillId="8" borderId="4" xfId="0" applyNumberFormat="1" applyFont="1" applyFill="1" applyBorder="1" applyAlignment="1" applyProtection="1">
      <alignment horizontal="center" vertical="center" wrapText="1"/>
      <protection locked="0"/>
    </xf>
    <xf numFmtId="43" fontId="8" fillId="8" borderId="4" xfId="1" applyFont="1" applyFill="1" applyBorder="1" applyAlignment="1">
      <alignment horizontal="center" vertical="center" wrapText="1"/>
    </xf>
    <xf numFmtId="43" fontId="8" fillId="8" borderId="4" xfId="1" applyFont="1" applyFill="1" applyBorder="1" applyAlignment="1" applyProtection="1">
      <alignment horizontal="center" vertical="center" wrapText="1"/>
      <protection locked="0"/>
    </xf>
    <xf numFmtId="0" fontId="0" fillId="8" borderId="0" xfId="0" applyFill="1" applyAlignment="1">
      <alignment vertical="center"/>
    </xf>
    <xf numFmtId="0" fontId="8" fillId="6" borderId="13" xfId="0" applyFont="1" applyFill="1" applyBorder="1" applyAlignment="1">
      <alignment vertical="center" wrapText="1"/>
    </xf>
    <xf numFmtId="0" fontId="8" fillId="6" borderId="42" xfId="0" applyFont="1" applyFill="1" applyBorder="1" applyAlignment="1">
      <alignment vertical="center" wrapText="1"/>
    </xf>
    <xf numFmtId="0" fontId="0" fillId="8" borderId="4" xfId="0" applyFill="1" applyBorder="1" applyAlignment="1">
      <alignment vertical="center"/>
    </xf>
    <xf numFmtId="164" fontId="8" fillId="6" borderId="42" xfId="0" applyNumberFormat="1" applyFont="1" applyFill="1" applyBorder="1" applyAlignment="1" applyProtection="1">
      <alignment horizontal="center" vertical="center" wrapText="1"/>
      <protection locked="0"/>
    </xf>
    <xf numFmtId="0" fontId="59" fillId="2" borderId="4" xfId="3" applyFont="1" applyFill="1" applyBorder="1" applyAlignment="1" applyProtection="1">
      <alignment horizontal="center" vertical="center" wrapText="1"/>
      <protection locked="0"/>
    </xf>
    <xf numFmtId="0" fontId="4" fillId="6" borderId="61" xfId="3" applyFont="1" applyFill="1" applyBorder="1" applyAlignment="1" applyProtection="1">
      <alignment horizontal="center" vertical="center" wrapText="1"/>
      <protection locked="0"/>
    </xf>
    <xf numFmtId="0" fontId="4" fillId="6" borderId="62" xfId="3" applyFont="1" applyFill="1" applyBorder="1" applyAlignment="1" applyProtection="1">
      <alignment horizontal="center" vertical="center" wrapText="1"/>
      <protection locked="0"/>
    </xf>
    <xf numFmtId="0" fontId="4" fillId="6" borderId="82" xfId="3" applyFont="1" applyFill="1" applyBorder="1" applyAlignment="1" applyProtection="1">
      <alignment horizontal="center" vertical="center" wrapText="1"/>
      <protection locked="0"/>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8" fillId="74" borderId="7" xfId="0" applyFont="1" applyFill="1" applyBorder="1" applyAlignment="1">
      <alignment vertical="center" wrapText="1"/>
    </xf>
    <xf numFmtId="0" fontId="8" fillId="74" borderId="9" xfId="0" applyFont="1" applyFill="1" applyBorder="1" applyAlignment="1">
      <alignment vertical="center" wrapText="1"/>
    </xf>
    <xf numFmtId="0" fontId="8" fillId="74" borderId="10" xfId="0" applyFont="1" applyFill="1" applyBorder="1" applyAlignment="1">
      <alignment vertical="center" wrapText="1"/>
    </xf>
    <xf numFmtId="9" fontId="8" fillId="74" borderId="7" xfId="0" applyNumberFormat="1" applyFont="1" applyFill="1" applyBorder="1" applyAlignment="1">
      <alignment horizontal="center" vertical="center"/>
    </xf>
    <xf numFmtId="9" fontId="8" fillId="74" borderId="10" xfId="0" applyNumberFormat="1" applyFont="1" applyFill="1" applyBorder="1" applyAlignment="1">
      <alignment horizontal="center" vertical="center"/>
    </xf>
    <xf numFmtId="0" fontId="12" fillId="0" borderId="0" xfId="0" applyFont="1" applyAlignment="1" applyProtection="1">
      <alignment horizontal="center" vertical="center"/>
      <protection locked="0"/>
    </xf>
    <xf numFmtId="0" fontId="12" fillId="0" borderId="0" xfId="0" applyFont="1" applyAlignment="1" applyProtection="1">
      <alignment horizontal="center" vertical="center" wrapText="1"/>
      <protection locked="0"/>
    </xf>
    <xf numFmtId="9" fontId="72" fillId="6" borderId="60" xfId="2" applyFont="1" applyFill="1" applyBorder="1" applyAlignment="1">
      <alignment horizontal="center" vertical="center"/>
    </xf>
    <xf numFmtId="9" fontId="72" fillId="6" borderId="0" xfId="2" applyFont="1" applyFill="1" applyBorder="1" applyAlignment="1">
      <alignment horizontal="center" vertical="center"/>
    </xf>
    <xf numFmtId="0" fontId="14" fillId="16" borderId="55" xfId="0" applyFont="1" applyFill="1" applyBorder="1" applyAlignment="1">
      <alignment horizontal="center" vertical="center"/>
    </xf>
    <xf numFmtId="0" fontId="14" fillId="16" borderId="56" xfId="0" applyFont="1" applyFill="1" applyBorder="1" applyAlignment="1">
      <alignment horizontal="center" vertical="center"/>
    </xf>
    <xf numFmtId="9" fontId="14" fillId="16" borderId="56" xfId="2" applyFont="1" applyFill="1" applyBorder="1" applyAlignment="1">
      <alignment horizontal="center" vertical="center"/>
    </xf>
    <xf numFmtId="0" fontId="14" fillId="16" borderId="56" xfId="0" applyFont="1" applyFill="1" applyBorder="1" applyAlignment="1">
      <alignment horizontal="center" vertical="center" wrapText="1"/>
    </xf>
    <xf numFmtId="0" fontId="14" fillId="16" borderId="26" xfId="0" applyFont="1" applyFill="1" applyBorder="1" applyAlignment="1">
      <alignment horizontal="center" vertical="center"/>
    </xf>
    <xf numFmtId="0" fontId="14" fillId="5" borderId="1" xfId="0" applyFont="1" applyFill="1" applyBorder="1" applyAlignment="1">
      <alignment horizontal="center"/>
    </xf>
    <xf numFmtId="0" fontId="14" fillId="5" borderId="3" xfId="0" applyFont="1" applyFill="1" applyBorder="1" applyAlignment="1">
      <alignment horizontal="center"/>
    </xf>
    <xf numFmtId="0" fontId="24" fillId="13" borderId="41" xfId="0" applyFont="1" applyFill="1" applyBorder="1" applyAlignment="1">
      <alignment horizontal="center" vertical="center" wrapText="1"/>
    </xf>
    <xf numFmtId="0" fontId="24" fillId="13" borderId="42" xfId="0" applyFont="1" applyFill="1" applyBorder="1" applyAlignment="1">
      <alignment horizontal="center" vertical="center" wrapText="1"/>
    </xf>
    <xf numFmtId="0" fontId="23" fillId="12" borderId="1" xfId="0" applyFont="1" applyFill="1" applyBorder="1" applyAlignment="1">
      <alignment horizontal="center" vertical="center" wrapText="1"/>
    </xf>
    <xf numFmtId="0" fontId="23" fillId="12" borderId="2" xfId="0" applyFont="1" applyFill="1" applyBorder="1" applyAlignment="1">
      <alignment horizontal="center" vertical="center" wrapText="1"/>
    </xf>
    <xf numFmtId="0" fontId="23" fillId="12" borderId="3" xfId="0" applyFont="1" applyFill="1" applyBorder="1" applyAlignment="1">
      <alignment horizontal="center" vertical="center" wrapText="1"/>
    </xf>
    <xf numFmtId="0" fontId="23" fillId="12" borderId="1" xfId="0" applyFont="1" applyFill="1" applyBorder="1" applyAlignment="1">
      <alignment horizontal="left" vertical="center" wrapText="1"/>
    </xf>
    <xf numFmtId="0" fontId="23" fillId="12" borderId="2" xfId="0" applyFont="1" applyFill="1" applyBorder="1" applyAlignment="1">
      <alignment horizontal="left" vertical="center" wrapText="1"/>
    </xf>
    <xf numFmtId="0" fontId="23" fillId="12" borderId="3" xfId="0" applyFont="1" applyFill="1" applyBorder="1" applyAlignment="1">
      <alignment horizontal="left" vertical="center" wrapText="1"/>
    </xf>
    <xf numFmtId="0" fontId="25" fillId="19" borderId="50" xfId="0" applyFont="1" applyFill="1" applyBorder="1" applyAlignment="1">
      <alignment horizontal="center" vertical="center" wrapText="1"/>
    </xf>
    <xf numFmtId="0" fontId="25" fillId="19" borderId="51" xfId="0" applyFont="1" applyFill="1" applyBorder="1" applyAlignment="1">
      <alignment horizontal="center" vertical="center" wrapText="1"/>
    </xf>
    <xf numFmtId="0" fontId="25" fillId="19" borderId="52" xfId="0" applyFont="1" applyFill="1" applyBorder="1" applyAlignment="1">
      <alignment horizontal="center" vertical="center" wrapText="1"/>
    </xf>
    <xf numFmtId="0" fontId="23" fillId="12" borderId="7" xfId="0" applyFont="1" applyFill="1" applyBorder="1" applyAlignment="1">
      <alignment horizontal="center" vertical="center" wrapText="1"/>
    </xf>
    <xf numFmtId="0" fontId="23" fillId="12" borderId="9" xfId="0" applyFont="1" applyFill="1" applyBorder="1" applyAlignment="1">
      <alignment horizontal="center" vertical="center" wrapText="1"/>
    </xf>
    <xf numFmtId="0" fontId="24" fillId="13" borderId="45" xfId="0" applyFont="1" applyFill="1" applyBorder="1" applyAlignment="1">
      <alignment horizontal="center" vertical="center" wrapText="1"/>
    </xf>
    <xf numFmtId="0" fontId="24" fillId="13" borderId="47" xfId="0" applyFont="1" applyFill="1" applyBorder="1" applyAlignment="1">
      <alignment horizontal="center" vertical="center" wrapText="1"/>
    </xf>
    <xf numFmtId="0" fontId="24" fillId="13" borderId="46" xfId="0" applyFont="1" applyFill="1" applyBorder="1" applyAlignment="1">
      <alignment horizontal="center" vertical="center" wrapText="1"/>
    </xf>
    <xf numFmtId="0" fontId="24" fillId="13" borderId="44" xfId="0" applyFont="1" applyFill="1" applyBorder="1" applyAlignment="1">
      <alignment horizontal="center" vertical="center" wrapText="1"/>
    </xf>
    <xf numFmtId="0" fontId="23" fillId="12" borderId="10" xfId="0" applyFont="1" applyFill="1" applyBorder="1" applyAlignment="1">
      <alignment horizontal="center" vertical="center" wrapText="1"/>
    </xf>
    <xf numFmtId="0" fontId="24" fillId="13" borderId="40" xfId="0" applyFont="1" applyFill="1" applyBorder="1" applyAlignment="1">
      <alignment horizontal="center" vertical="center" wrapText="1"/>
    </xf>
    <xf numFmtId="0" fontId="24" fillId="13" borderId="43" xfId="0" applyFont="1" applyFill="1" applyBorder="1" applyAlignment="1">
      <alignment horizontal="center" vertical="center" wrapText="1"/>
    </xf>
    <xf numFmtId="0" fontId="24" fillId="18" borderId="48" xfId="0" applyFont="1" applyFill="1" applyBorder="1" applyAlignment="1">
      <alignment horizontal="center" vertical="center" wrapText="1"/>
    </xf>
    <xf numFmtId="0" fontId="24" fillId="18" borderId="14" xfId="0" applyFont="1" applyFill="1" applyBorder="1" applyAlignment="1">
      <alignment horizontal="center" vertical="center" wrapText="1"/>
    </xf>
    <xf numFmtId="0" fontId="24" fillId="18" borderId="49" xfId="0" applyFont="1" applyFill="1" applyBorder="1" applyAlignment="1">
      <alignment horizontal="center" vertical="center" wrapText="1"/>
    </xf>
    <xf numFmtId="0" fontId="24" fillId="18" borderId="50" xfId="0" applyFont="1" applyFill="1" applyBorder="1" applyAlignment="1">
      <alignment horizontal="center" vertical="center" wrapText="1"/>
    </xf>
    <xf numFmtId="0" fontId="24" fillId="18" borderId="51" xfId="0" applyFont="1" applyFill="1" applyBorder="1" applyAlignment="1">
      <alignment horizontal="center" vertical="center" wrapText="1"/>
    </xf>
    <xf numFmtId="0" fontId="24" fillId="18" borderId="52" xfId="0" applyFont="1" applyFill="1" applyBorder="1" applyAlignment="1">
      <alignment horizontal="center" vertical="center" wrapText="1"/>
    </xf>
    <xf numFmtId="0" fontId="23" fillId="20" borderId="53" xfId="0" applyFont="1" applyFill="1" applyBorder="1" applyAlignment="1">
      <alignment horizontal="center" vertical="center" wrapText="1"/>
    </xf>
    <xf numFmtId="0" fontId="23" fillId="20" borderId="54" xfId="0" applyFont="1" applyFill="1" applyBorder="1" applyAlignment="1">
      <alignment horizontal="center" vertical="center" wrapText="1"/>
    </xf>
    <xf numFmtId="0" fontId="23" fillId="20" borderId="51" xfId="0" applyFont="1" applyFill="1" applyBorder="1" applyAlignment="1">
      <alignment horizontal="center" vertical="center" wrapText="1"/>
    </xf>
    <xf numFmtId="0" fontId="23" fillId="20" borderId="52" xfId="0" applyFont="1" applyFill="1" applyBorder="1" applyAlignment="1">
      <alignment horizontal="center" vertical="center" wrapText="1"/>
    </xf>
    <xf numFmtId="0" fontId="26" fillId="0" borderId="4" xfId="0" applyFont="1" applyBorder="1" applyAlignment="1">
      <alignment horizontal="center" vertical="center" wrapText="1"/>
    </xf>
    <xf numFmtId="0" fontId="26" fillId="0" borderId="4" xfId="0" applyFont="1" applyBorder="1" applyAlignment="1">
      <alignment horizontal="center" vertical="center"/>
    </xf>
    <xf numFmtId="0" fontId="27" fillId="0" borderId="55" xfId="0" applyFont="1" applyBorder="1" applyAlignment="1">
      <alignment horizontal="center" vertical="center"/>
    </xf>
    <xf numFmtId="0" fontId="27" fillId="0" borderId="56" xfId="0" applyFont="1" applyBorder="1" applyAlignment="1">
      <alignment horizontal="center" vertical="center"/>
    </xf>
    <xf numFmtId="0" fontId="27" fillId="0" borderId="26" xfId="0" applyFont="1" applyBorder="1" applyAlignment="1">
      <alignment horizontal="center" vertical="center"/>
    </xf>
    <xf numFmtId="0" fontId="24" fillId="0" borderId="48" xfId="0" applyFont="1" applyBorder="1" applyAlignment="1">
      <alignment horizontal="center" vertical="center"/>
    </xf>
    <xf numFmtId="0" fontId="24" fillId="0" borderId="49" xfId="0" applyFont="1" applyBorder="1" applyAlignment="1">
      <alignment horizontal="center" vertical="center"/>
    </xf>
    <xf numFmtId="0" fontId="24" fillId="0" borderId="0" xfId="0" applyFont="1" applyAlignment="1">
      <alignment vertical="top"/>
    </xf>
    <xf numFmtId="0" fontId="24" fillId="0" borderId="0" xfId="0" applyFont="1" applyAlignment="1">
      <alignment horizontal="left" vertical="top"/>
    </xf>
    <xf numFmtId="0" fontId="28" fillId="0" borderId="0" xfId="0" applyFont="1"/>
    <xf numFmtId="0" fontId="24" fillId="0" borderId="0" xfId="0" applyFont="1" applyAlignment="1">
      <alignment horizontal="center" vertical="center"/>
    </xf>
    <xf numFmtId="0" fontId="24" fillId="0" borderId="50" xfId="0" applyFont="1" applyBorder="1" applyAlignment="1">
      <alignment horizontal="center"/>
    </xf>
    <xf numFmtId="0" fontId="24" fillId="0" borderId="52" xfId="0" applyFont="1" applyBorder="1" applyAlignment="1">
      <alignment horizontal="center"/>
    </xf>
    <xf numFmtId="0" fontId="24" fillId="24" borderId="58" xfId="0" applyFont="1" applyFill="1" applyBorder="1" applyAlignment="1">
      <alignment horizontal="center" vertical="top" wrapText="1"/>
    </xf>
    <xf numFmtId="0" fontId="24" fillId="24" borderId="59" xfId="0" applyFont="1" applyFill="1" applyBorder="1" applyAlignment="1">
      <alignment horizontal="center" vertical="top" wrapText="1"/>
    </xf>
    <xf numFmtId="0" fontId="24" fillId="24" borderId="60" xfId="0" applyFont="1" applyFill="1" applyBorder="1" applyAlignment="1">
      <alignment horizontal="center" vertical="top" wrapText="1"/>
    </xf>
    <xf numFmtId="0" fontId="24" fillId="24" borderId="0" xfId="0" applyFont="1" applyFill="1" applyAlignment="1">
      <alignment horizontal="center" vertical="top" wrapText="1"/>
    </xf>
    <xf numFmtId="0" fontId="24" fillId="24" borderId="63" xfId="0" applyFont="1" applyFill="1" applyBorder="1" applyAlignment="1">
      <alignment horizontal="center" vertical="top" wrapText="1"/>
    </xf>
    <xf numFmtId="0" fontId="24" fillId="24" borderId="14" xfId="0" applyFont="1" applyFill="1" applyBorder="1" applyAlignment="1">
      <alignment horizontal="center" vertical="top" wrapText="1"/>
    </xf>
    <xf numFmtId="0" fontId="24" fillId="24" borderId="0" xfId="0" applyFont="1" applyFill="1" applyAlignment="1">
      <alignment horizontal="right"/>
    </xf>
    <xf numFmtId="0" fontId="24" fillId="24" borderId="14" xfId="0" applyFont="1" applyFill="1" applyBorder="1" applyAlignment="1">
      <alignment horizontal="center"/>
    </xf>
    <xf numFmtId="0" fontId="24" fillId="24" borderId="64" xfId="0" applyFont="1" applyFill="1" applyBorder="1" applyAlignment="1">
      <alignment horizontal="center" vertical="center" wrapText="1"/>
    </xf>
    <xf numFmtId="0" fontId="24" fillId="24" borderId="54" xfId="0" applyFont="1" applyFill="1" applyBorder="1" applyAlignment="1">
      <alignment horizontal="center" vertical="center" wrapText="1"/>
    </xf>
    <xf numFmtId="0" fontId="24" fillId="24" borderId="60" xfId="0" applyFont="1" applyFill="1" applyBorder="1" applyAlignment="1">
      <alignment horizontal="center" vertical="center" wrapText="1"/>
    </xf>
    <xf numFmtId="0" fontId="24" fillId="24" borderId="0" xfId="0" applyFont="1" applyFill="1" applyAlignment="1">
      <alignment horizontal="center" vertical="center" wrapText="1"/>
    </xf>
    <xf numFmtId="0" fontId="24" fillId="0" borderId="0" xfId="0" applyFont="1" applyAlignment="1">
      <alignment horizontal="center"/>
    </xf>
    <xf numFmtId="0" fontId="25" fillId="19" borderId="58" xfId="0" applyFont="1" applyFill="1" applyBorder="1" applyAlignment="1">
      <alignment horizontal="center" vertical="center"/>
    </xf>
    <xf numFmtId="0" fontId="25" fillId="19" borderId="59" xfId="0" applyFont="1" applyFill="1" applyBorder="1" applyAlignment="1">
      <alignment horizontal="center" vertical="center"/>
    </xf>
    <xf numFmtId="0" fontId="25" fillId="19" borderId="60" xfId="0" applyFont="1" applyFill="1" applyBorder="1" applyAlignment="1">
      <alignment horizontal="center" vertical="center"/>
    </xf>
    <xf numFmtId="0" fontId="25" fillId="19" borderId="0" xfId="0" applyFont="1" applyFill="1" applyAlignment="1">
      <alignment horizontal="center" vertical="center"/>
    </xf>
    <xf numFmtId="0" fontId="24" fillId="0" borderId="60" xfId="0" applyFont="1" applyBorder="1" applyAlignment="1">
      <alignment horizontal="left" vertical="top" wrapText="1"/>
    </xf>
    <xf numFmtId="0" fontId="24" fillId="0" borderId="0" xfId="0" applyFont="1" applyAlignment="1">
      <alignment horizontal="left" vertical="top" wrapText="1"/>
    </xf>
    <xf numFmtId="0" fontId="24" fillId="0" borderId="0" xfId="0" applyFont="1" applyAlignment="1">
      <alignment horizontal="center" vertical="top" wrapText="1"/>
    </xf>
    <xf numFmtId="0" fontId="25" fillId="23" borderId="61" xfId="0" applyFont="1" applyFill="1" applyBorder="1" applyAlignment="1">
      <alignment horizontal="center" vertical="center"/>
    </xf>
    <xf numFmtId="0" fontId="25" fillId="23" borderId="62" xfId="0" applyFont="1" applyFill="1" applyBorder="1" applyAlignment="1">
      <alignment horizontal="center" vertical="center"/>
    </xf>
    <xf numFmtId="0" fontId="30" fillId="12" borderId="7" xfId="0" applyFont="1" applyFill="1" applyBorder="1" applyAlignment="1">
      <alignment horizontal="center" vertical="center" wrapText="1"/>
    </xf>
    <xf numFmtId="0" fontId="30" fillId="12" borderId="10" xfId="0" applyFont="1" applyFill="1" applyBorder="1" applyAlignment="1">
      <alignment horizontal="center" vertical="center" wrapText="1"/>
    </xf>
    <xf numFmtId="0" fontId="26" fillId="13" borderId="40" xfId="0" applyFont="1" applyFill="1" applyBorder="1" applyAlignment="1">
      <alignment horizontal="center" vertical="center" wrapText="1"/>
    </xf>
    <xf numFmtId="0" fontId="26" fillId="13" borderId="47" xfId="0" applyFont="1" applyFill="1" applyBorder="1" applyAlignment="1">
      <alignment horizontal="center" vertical="center" wrapText="1"/>
    </xf>
    <xf numFmtId="0" fontId="26" fillId="13" borderId="41" xfId="0" applyFont="1" applyFill="1" applyBorder="1" applyAlignment="1">
      <alignment horizontal="center" vertical="center" wrapText="1"/>
    </xf>
    <xf numFmtId="0" fontId="26" fillId="13" borderId="44" xfId="0" applyFont="1" applyFill="1" applyBorder="1" applyAlignment="1">
      <alignment horizontal="center" vertical="center" wrapText="1"/>
    </xf>
    <xf numFmtId="0" fontId="32" fillId="19" borderId="50" xfId="0" applyFont="1" applyFill="1" applyBorder="1" applyAlignment="1">
      <alignment horizontal="center" vertical="center" wrapText="1"/>
    </xf>
    <xf numFmtId="0" fontId="32" fillId="19" borderId="51" xfId="0" applyFont="1" applyFill="1" applyBorder="1" applyAlignment="1">
      <alignment horizontal="center" vertical="center" wrapText="1"/>
    </xf>
    <xf numFmtId="0" fontId="32" fillId="19" borderId="52" xfId="0" applyFont="1" applyFill="1" applyBorder="1" applyAlignment="1">
      <alignment horizontal="center" vertical="center" wrapText="1"/>
    </xf>
    <xf numFmtId="0" fontId="26" fillId="13" borderId="4" xfId="0" applyFont="1" applyFill="1" applyBorder="1" applyAlignment="1">
      <alignment horizontal="center" vertical="center" wrapText="1"/>
    </xf>
    <xf numFmtId="0" fontId="26" fillId="13" borderId="7" xfId="0" applyFont="1" applyFill="1" applyBorder="1" applyAlignment="1">
      <alignment horizontal="center" vertical="center" wrapText="1"/>
    </xf>
    <xf numFmtId="0" fontId="26" fillId="13" borderId="10" xfId="0" applyFont="1" applyFill="1" applyBorder="1" applyAlignment="1">
      <alignment horizontal="center" vertical="center" wrapText="1"/>
    </xf>
    <xf numFmtId="0" fontId="26" fillId="18" borderId="48" xfId="0" applyFont="1" applyFill="1" applyBorder="1" applyAlignment="1">
      <alignment horizontal="center" vertical="center" wrapText="1"/>
    </xf>
    <xf numFmtId="0" fontId="26" fillId="18" borderId="14" xfId="0" applyFont="1" applyFill="1" applyBorder="1" applyAlignment="1">
      <alignment horizontal="center" vertical="center" wrapText="1"/>
    </xf>
    <xf numFmtId="0" fontId="26" fillId="18" borderId="49" xfId="0" applyFont="1" applyFill="1" applyBorder="1" applyAlignment="1">
      <alignment horizontal="center" vertical="center" wrapText="1"/>
    </xf>
    <xf numFmtId="0" fontId="26" fillId="18" borderId="50" xfId="0" applyFont="1" applyFill="1" applyBorder="1" applyAlignment="1">
      <alignment horizontal="center" vertical="center" wrapText="1"/>
    </xf>
    <xf numFmtId="0" fontId="26" fillId="18" borderId="51" xfId="0" applyFont="1" applyFill="1" applyBorder="1" applyAlignment="1">
      <alignment horizontal="center" vertical="center" wrapText="1"/>
    </xf>
    <xf numFmtId="0" fontId="26" fillId="18" borderId="52" xfId="0" applyFont="1" applyFill="1" applyBorder="1" applyAlignment="1">
      <alignment horizontal="center" vertical="center" wrapText="1"/>
    </xf>
    <xf numFmtId="0" fontId="30" fillId="20" borderId="53" xfId="0" applyFont="1" applyFill="1" applyBorder="1" applyAlignment="1">
      <alignment horizontal="center" vertical="center" wrapText="1"/>
    </xf>
    <xf numFmtId="0" fontId="30" fillId="20" borderId="54" xfId="0" applyFont="1" applyFill="1" applyBorder="1" applyAlignment="1">
      <alignment horizontal="center" vertical="center" wrapText="1"/>
    </xf>
    <xf numFmtId="0" fontId="30" fillId="20" borderId="65" xfId="0" applyFont="1" applyFill="1" applyBorder="1" applyAlignment="1">
      <alignment horizontal="center" vertical="center" wrapText="1"/>
    </xf>
    <xf numFmtId="0" fontId="26" fillId="0" borderId="8" xfId="0" applyFont="1" applyBorder="1" applyAlignment="1">
      <alignment horizontal="center" vertical="center"/>
    </xf>
    <xf numFmtId="0" fontId="26" fillId="0" borderId="66" xfId="0" applyFont="1" applyBorder="1" applyAlignment="1">
      <alignment horizontal="center" vertical="center"/>
    </xf>
    <xf numFmtId="0" fontId="26" fillId="0" borderId="39" xfId="0" applyFont="1" applyBorder="1" applyAlignment="1">
      <alignment horizontal="center" vertical="center"/>
    </xf>
    <xf numFmtId="0" fontId="26" fillId="0" borderId="5" xfId="0" applyFont="1" applyBorder="1" applyAlignment="1">
      <alignment horizontal="center" vertical="center"/>
    </xf>
    <xf numFmtId="0" fontId="26" fillId="0" borderId="6" xfId="0" applyFont="1" applyBorder="1" applyAlignment="1">
      <alignment horizontal="center" vertical="center"/>
    </xf>
    <xf numFmtId="0" fontId="26" fillId="0" borderId="11" xfId="0" applyFont="1" applyBorder="1" applyAlignment="1">
      <alignment horizontal="center" vertical="center"/>
    </xf>
    <xf numFmtId="0" fontId="24" fillId="0" borderId="17" xfId="0" applyFont="1" applyBorder="1" applyAlignment="1">
      <alignment horizontal="center" vertical="center"/>
    </xf>
    <xf numFmtId="0" fontId="24" fillId="0" borderId="50" xfId="0" applyFont="1" applyBorder="1" applyAlignment="1">
      <alignment horizontal="center" vertical="center"/>
    </xf>
    <xf numFmtId="0" fontId="24" fillId="0" borderId="52" xfId="0" applyFont="1" applyBorder="1" applyAlignment="1">
      <alignment horizontal="center" vertical="center"/>
    </xf>
    <xf numFmtId="0" fontId="30" fillId="12" borderId="0" xfId="0" applyFont="1" applyFill="1" applyAlignment="1">
      <alignment horizontal="center" vertical="center" wrapText="1"/>
    </xf>
    <xf numFmtId="0" fontId="33" fillId="3" borderId="0" xfId="0" applyFont="1" applyFill="1"/>
    <xf numFmtId="0" fontId="33" fillId="3" borderId="67" xfId="0" applyFont="1" applyFill="1" applyBorder="1"/>
    <xf numFmtId="0" fontId="32" fillId="0" borderId="51" xfId="0" applyFont="1" applyBorder="1" applyAlignment="1">
      <alignment horizontal="left" vertical="center" wrapText="1"/>
    </xf>
    <xf numFmtId="0" fontId="33" fillId="0" borderId="52" xfId="0" applyFont="1" applyBorder="1"/>
    <xf numFmtId="0" fontId="33" fillId="3" borderId="68" xfId="0" applyFont="1" applyFill="1" applyBorder="1"/>
    <xf numFmtId="0" fontId="33" fillId="3" borderId="69" xfId="0" applyFont="1" applyFill="1" applyBorder="1"/>
    <xf numFmtId="0" fontId="35" fillId="0" borderId="51" xfId="0" applyFont="1" applyBorder="1" applyAlignment="1">
      <alignment horizontal="left"/>
    </xf>
    <xf numFmtId="0" fontId="32" fillId="0" borderId="54" xfId="0" applyFont="1" applyBorder="1" applyAlignment="1">
      <alignment wrapText="1"/>
    </xf>
    <xf numFmtId="0" fontId="33" fillId="0" borderId="65" xfId="0" applyFont="1" applyBorder="1"/>
    <xf numFmtId="0" fontId="30" fillId="12" borderId="61" xfId="0" applyFont="1" applyFill="1" applyBorder="1" applyAlignment="1">
      <alignment horizontal="left" vertical="center" wrapText="1"/>
    </xf>
    <xf numFmtId="0" fontId="30" fillId="12" borderId="62" xfId="0" applyFont="1" applyFill="1" applyBorder="1" applyAlignment="1">
      <alignment horizontal="left" vertical="center" wrapText="1"/>
    </xf>
    <xf numFmtId="0" fontId="30" fillId="12" borderId="62" xfId="0" applyFont="1" applyFill="1" applyBorder="1" applyAlignment="1">
      <alignment horizontal="center" vertical="center" wrapText="1"/>
    </xf>
    <xf numFmtId="0" fontId="30" fillId="12" borderId="70" xfId="0" applyFont="1" applyFill="1" applyBorder="1" applyAlignment="1">
      <alignment horizontal="center" vertical="center" wrapText="1"/>
    </xf>
    <xf numFmtId="0" fontId="32" fillId="18" borderId="71" xfId="0" applyFont="1" applyFill="1" applyBorder="1" applyAlignment="1">
      <alignment horizontal="center" vertical="center" wrapText="1"/>
    </xf>
    <xf numFmtId="0" fontId="33" fillId="0" borderId="44" xfId="0" applyFont="1" applyBorder="1"/>
    <xf numFmtId="0" fontId="32" fillId="18" borderId="72" xfId="0" applyFont="1" applyFill="1" applyBorder="1" applyAlignment="1">
      <alignment horizontal="center" vertical="center" wrapText="1"/>
    </xf>
    <xf numFmtId="0" fontId="33" fillId="0" borderId="75" xfId="0" applyFont="1" applyBorder="1"/>
    <xf numFmtId="0" fontId="30" fillId="12" borderId="76" xfId="0" applyFont="1" applyFill="1" applyBorder="1" applyAlignment="1">
      <alignment horizontal="center" vertical="center"/>
    </xf>
    <xf numFmtId="0" fontId="30" fillId="12" borderId="79" xfId="0" applyFont="1" applyFill="1" applyBorder="1" applyAlignment="1">
      <alignment horizontal="center" vertical="center"/>
    </xf>
    <xf numFmtId="0" fontId="26" fillId="27" borderId="53" xfId="0" applyFont="1" applyFill="1" applyBorder="1" applyAlignment="1">
      <alignment horizontal="center" vertical="center" wrapText="1"/>
    </xf>
    <xf numFmtId="0" fontId="33" fillId="26" borderId="48" xfId="0" applyFont="1" applyFill="1" applyBorder="1"/>
    <xf numFmtId="0" fontId="64" fillId="27" borderId="4" xfId="0" applyFont="1" applyFill="1" applyBorder="1" applyAlignment="1">
      <alignment horizontal="center" vertical="center" wrapText="1"/>
    </xf>
    <xf numFmtId="0" fontId="64" fillId="26" borderId="4" xfId="0" applyFont="1" applyFill="1" applyBorder="1"/>
    <xf numFmtId="0" fontId="26" fillId="26" borderId="4" xfId="0" applyFont="1" applyFill="1" applyBorder="1" applyAlignment="1">
      <alignment horizontal="center" vertical="center" wrapText="1"/>
    </xf>
    <xf numFmtId="0" fontId="26" fillId="27" borderId="45" xfId="0" applyFont="1" applyFill="1" applyBorder="1" applyAlignment="1">
      <alignment horizontal="center" vertical="center" wrapText="1"/>
    </xf>
    <xf numFmtId="0" fontId="26" fillId="27" borderId="43" xfId="0" applyFont="1" applyFill="1" applyBorder="1" applyAlignment="1">
      <alignment horizontal="center" vertical="center" wrapText="1"/>
    </xf>
    <xf numFmtId="0" fontId="33" fillId="25" borderId="77" xfId="0" applyFont="1" applyFill="1" applyBorder="1" applyAlignment="1">
      <alignment horizontal="center" vertical="center" wrapText="1"/>
    </xf>
    <xf numFmtId="0" fontId="33" fillId="25" borderId="48" xfId="0" applyFont="1" applyFill="1" applyBorder="1" applyAlignment="1">
      <alignment horizontal="center" vertical="center" wrapText="1"/>
    </xf>
    <xf numFmtId="0" fontId="34" fillId="25" borderId="4" xfId="0" applyFont="1" applyFill="1" applyBorder="1" applyAlignment="1">
      <alignment horizontal="center" vertical="center" wrapText="1"/>
    </xf>
    <xf numFmtId="0" fontId="34" fillId="31" borderId="4" xfId="0" applyFont="1" applyFill="1" applyBorder="1" applyAlignment="1">
      <alignment horizontal="center" vertical="center"/>
    </xf>
    <xf numFmtId="0" fontId="33" fillId="29" borderId="4" xfId="0" applyFont="1" applyFill="1" applyBorder="1"/>
    <xf numFmtId="9" fontId="34" fillId="32" borderId="65" xfId="0" applyNumberFormat="1" applyFont="1" applyFill="1" applyBorder="1" applyAlignment="1">
      <alignment horizontal="center" vertical="center"/>
    </xf>
    <xf numFmtId="0" fontId="33" fillId="30" borderId="49" xfId="0" applyFont="1" applyFill="1" applyBorder="1"/>
    <xf numFmtId="9" fontId="34" fillId="32" borderId="46" xfId="0" applyNumberFormat="1" applyFont="1" applyFill="1" applyBorder="1" applyAlignment="1">
      <alignment horizontal="center" vertical="center"/>
    </xf>
    <xf numFmtId="0" fontId="33" fillId="30" borderId="42" xfId="0" applyFont="1" applyFill="1" applyBorder="1"/>
    <xf numFmtId="0" fontId="34" fillId="31" borderId="3" xfId="0" applyFont="1" applyFill="1" applyBorder="1" applyAlignment="1">
      <alignment horizontal="center" vertical="center"/>
    </xf>
    <xf numFmtId="0" fontId="33" fillId="29" borderId="3" xfId="0" applyFont="1" applyFill="1" applyBorder="1"/>
    <xf numFmtId="9" fontId="34" fillId="32" borderId="78" xfId="0" applyNumberFormat="1" applyFont="1" applyFill="1" applyBorder="1" applyAlignment="1">
      <alignment horizontal="center" vertical="center"/>
    </xf>
    <xf numFmtId="9" fontId="34" fillId="32" borderId="44" xfId="0" applyNumberFormat="1" applyFont="1" applyFill="1" applyBorder="1" applyAlignment="1">
      <alignment horizontal="center" vertical="center"/>
    </xf>
    <xf numFmtId="0" fontId="26" fillId="27" borderId="65" xfId="0" applyFont="1" applyFill="1" applyBorder="1" applyAlignment="1">
      <alignment horizontal="center" vertical="center" wrapText="1"/>
    </xf>
    <xf numFmtId="0" fontId="33" fillId="26" borderId="49" xfId="0" applyFont="1" applyFill="1" applyBorder="1"/>
    <xf numFmtId="0" fontId="34" fillId="27" borderId="53" xfId="0" applyFont="1" applyFill="1" applyBorder="1" applyAlignment="1">
      <alignment horizontal="center" vertical="center" wrapText="1"/>
    </xf>
    <xf numFmtId="0" fontId="34" fillId="26" borderId="48" xfId="0" applyFont="1" applyFill="1" applyBorder="1"/>
    <xf numFmtId="0" fontId="26" fillId="27" borderId="78" xfId="0" applyFont="1" applyFill="1" applyBorder="1" applyAlignment="1">
      <alignment horizontal="center" vertical="center" wrapText="1"/>
    </xf>
    <xf numFmtId="0" fontId="26" fillId="27" borderId="57" xfId="0" applyFont="1" applyFill="1" applyBorder="1" applyAlignment="1">
      <alignment horizontal="center" vertical="center" wrapText="1"/>
    </xf>
    <xf numFmtId="0" fontId="26" fillId="27" borderId="46" xfId="0" applyFont="1" applyFill="1" applyBorder="1" applyAlignment="1">
      <alignment horizontal="center" vertical="center" wrapText="1"/>
    </xf>
    <xf numFmtId="0" fontId="26" fillId="27" borderId="42" xfId="0" applyFont="1" applyFill="1" applyBorder="1" applyAlignment="1">
      <alignment horizontal="center" vertical="center" wrapText="1"/>
    </xf>
    <xf numFmtId="0" fontId="64" fillId="27" borderId="53" xfId="0" applyFont="1" applyFill="1" applyBorder="1" applyAlignment="1">
      <alignment horizontal="center" vertical="center" wrapText="1"/>
    </xf>
    <xf numFmtId="0" fontId="64" fillId="26" borderId="48" xfId="0" applyFont="1" applyFill="1" applyBorder="1"/>
    <xf numFmtId="0" fontId="33" fillId="26" borderId="46" xfId="0" applyFont="1" applyFill="1" applyBorder="1" applyAlignment="1">
      <alignment horizontal="center" vertical="center"/>
    </xf>
    <xf numFmtId="0" fontId="33" fillId="26" borderId="42" xfId="0" applyFont="1" applyFill="1" applyBorder="1" applyAlignment="1">
      <alignment horizontal="center" vertical="center"/>
    </xf>
    <xf numFmtId="0" fontId="64" fillId="26" borderId="53" xfId="0" applyFont="1" applyFill="1" applyBorder="1" applyAlignment="1">
      <alignment horizontal="center" vertical="center" wrapText="1"/>
    </xf>
    <xf numFmtId="0" fontId="64" fillId="26" borderId="48" xfId="0" applyFont="1" applyFill="1" applyBorder="1" applyAlignment="1">
      <alignment horizontal="center" vertical="center" wrapText="1"/>
    </xf>
    <xf numFmtId="0" fontId="33" fillId="26" borderId="46" xfId="0" applyFont="1" applyFill="1" applyBorder="1" applyAlignment="1">
      <alignment horizontal="center" vertical="center" wrapText="1"/>
    </xf>
    <xf numFmtId="0" fontId="33" fillId="26" borderId="42" xfId="0" applyFont="1" applyFill="1" applyBorder="1" applyAlignment="1">
      <alignment horizontal="center" vertical="center" wrapText="1"/>
    </xf>
    <xf numFmtId="0" fontId="64" fillId="26" borderId="53" xfId="0" applyFont="1" applyFill="1" applyBorder="1" applyAlignment="1">
      <alignment horizontal="center" wrapText="1"/>
    </xf>
    <xf numFmtId="0" fontId="64" fillId="26" borderId="48" xfId="0" applyFont="1" applyFill="1" applyBorder="1" applyAlignment="1">
      <alignment horizontal="center" wrapText="1"/>
    </xf>
    <xf numFmtId="0" fontId="26" fillId="26" borderId="65" xfId="0" applyFont="1" applyFill="1" applyBorder="1" applyAlignment="1">
      <alignment horizontal="center" vertical="center" wrapText="1"/>
    </xf>
    <xf numFmtId="0" fontId="34" fillId="26" borderId="65" xfId="0" applyFont="1" applyFill="1" applyBorder="1" applyAlignment="1">
      <alignment horizontal="center" vertical="center" wrapText="1"/>
    </xf>
    <xf numFmtId="0" fontId="64" fillId="26" borderId="48" xfId="0" applyFont="1" applyFill="1" applyBorder="1" applyAlignment="1">
      <alignment horizontal="center"/>
    </xf>
    <xf numFmtId="0" fontId="33" fillId="26" borderId="53" xfId="0" applyFont="1" applyFill="1" applyBorder="1" applyAlignment="1">
      <alignment horizontal="center" vertical="center" wrapText="1"/>
    </xf>
    <xf numFmtId="0" fontId="33" fillId="26" borderId="48" xfId="0" applyFont="1" applyFill="1" applyBorder="1" applyAlignment="1">
      <alignment horizontal="center" vertical="center" wrapText="1"/>
    </xf>
    <xf numFmtId="0" fontId="34" fillId="18" borderId="48" xfId="0" applyFont="1" applyFill="1" applyBorder="1" applyAlignment="1">
      <alignment horizontal="center" vertical="center" wrapText="1"/>
    </xf>
    <xf numFmtId="0" fontId="33" fillId="0" borderId="14" xfId="0" applyFont="1" applyBorder="1"/>
    <xf numFmtId="0" fontId="33" fillId="0" borderId="49" xfId="0" applyFont="1" applyBorder="1"/>
    <xf numFmtId="0" fontId="26" fillId="26" borderId="53" xfId="0" applyFont="1" applyFill="1" applyBorder="1" applyAlignment="1">
      <alignment horizontal="center" vertical="center" wrapText="1"/>
    </xf>
    <xf numFmtId="0" fontId="34" fillId="18" borderId="50" xfId="0" applyFont="1" applyFill="1" applyBorder="1" applyAlignment="1">
      <alignment horizontal="center" vertical="center" wrapText="1"/>
    </xf>
    <xf numFmtId="0" fontId="33" fillId="0" borderId="51" xfId="0" applyFont="1" applyBorder="1"/>
    <xf numFmtId="0" fontId="37" fillId="0" borderId="55" xfId="3" applyFont="1" applyBorder="1" applyAlignment="1">
      <alignment horizontal="center" vertical="center"/>
    </xf>
    <xf numFmtId="0" fontId="37" fillId="0" borderId="56" xfId="3" applyFont="1" applyBorder="1" applyAlignment="1">
      <alignment horizontal="center" vertical="center"/>
    </xf>
    <xf numFmtId="0" fontId="37" fillId="0" borderId="26" xfId="3" applyFont="1" applyBorder="1" applyAlignment="1">
      <alignment horizontal="center" vertical="center"/>
    </xf>
    <xf numFmtId="0" fontId="26" fillId="0" borderId="8" xfId="0" applyFont="1" applyBorder="1" applyAlignment="1">
      <alignment horizontal="center" vertical="center" wrapText="1"/>
    </xf>
    <xf numFmtId="0" fontId="26" fillId="0" borderId="66"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6" xfId="0" applyFont="1" applyBorder="1" applyAlignment="1">
      <alignment horizontal="center" vertical="center" wrapText="1"/>
    </xf>
    <xf numFmtId="0" fontId="34" fillId="0" borderId="48" xfId="0" applyFont="1" applyBorder="1" applyAlignment="1">
      <alignment horizontal="center" vertical="center"/>
    </xf>
    <xf numFmtId="0" fontId="31" fillId="0" borderId="0" xfId="0" applyFont="1"/>
    <xf numFmtId="0" fontId="34" fillId="0" borderId="0" xfId="0" applyFont="1" applyAlignment="1">
      <alignment horizontal="center" vertical="center"/>
    </xf>
    <xf numFmtId="0" fontId="34" fillId="0" borderId="50" xfId="0" applyFont="1" applyBorder="1" applyAlignment="1">
      <alignment horizontal="center"/>
    </xf>
    <xf numFmtId="0" fontId="34" fillId="34" borderId="60" xfId="0" applyFont="1" applyFill="1" applyBorder="1" applyAlignment="1">
      <alignment horizontal="center" vertical="top" wrapText="1"/>
    </xf>
    <xf numFmtId="0" fontId="33" fillId="0" borderId="0" xfId="0" applyFont="1"/>
    <xf numFmtId="0" fontId="33" fillId="0" borderId="67" xfId="0" applyFont="1" applyBorder="1"/>
    <xf numFmtId="0" fontId="33" fillId="0" borderId="60" xfId="0" applyFont="1" applyBorder="1"/>
    <xf numFmtId="0" fontId="33" fillId="0" borderId="63" xfId="0" applyFont="1" applyBorder="1"/>
    <xf numFmtId="0" fontId="33" fillId="0" borderId="83" xfId="0" applyFont="1" applyBorder="1"/>
    <xf numFmtId="0" fontId="34" fillId="34" borderId="0" xfId="0" applyFont="1" applyFill="1" applyAlignment="1">
      <alignment horizontal="right"/>
    </xf>
    <xf numFmtId="15" fontId="34" fillId="34" borderId="14" xfId="0" applyNumberFormat="1" applyFont="1" applyFill="1" applyBorder="1" applyAlignment="1">
      <alignment horizontal="center"/>
    </xf>
    <xf numFmtId="0" fontId="34" fillId="34" borderId="64" xfId="0" applyFont="1" applyFill="1" applyBorder="1" applyAlignment="1">
      <alignment horizontal="center" vertical="center" wrapText="1"/>
    </xf>
    <xf numFmtId="0" fontId="33" fillId="0" borderId="54" xfId="0" applyFont="1" applyBorder="1"/>
    <xf numFmtId="0" fontId="33" fillId="0" borderId="84" xfId="0" applyFont="1" applyBorder="1"/>
    <xf numFmtId="0" fontId="33" fillId="0" borderId="81" xfId="0" applyFont="1" applyBorder="1"/>
    <xf numFmtId="0" fontId="33" fillId="0" borderId="68" xfId="0" applyFont="1" applyBorder="1"/>
    <xf numFmtId="0" fontId="33" fillId="0" borderId="69" xfId="0" applyFont="1" applyBorder="1"/>
    <xf numFmtId="0" fontId="34" fillId="0" borderId="0" xfId="0" applyFont="1" applyAlignment="1">
      <alignment horizontal="center"/>
    </xf>
    <xf numFmtId="0" fontId="35" fillId="19" borderId="58" xfId="0" applyFont="1" applyFill="1" applyBorder="1" applyAlignment="1">
      <alignment horizontal="center" vertical="center"/>
    </xf>
    <xf numFmtId="0" fontId="33" fillId="0" borderId="59" xfId="0" applyFont="1" applyBorder="1"/>
    <xf numFmtId="0" fontId="33" fillId="0" borderId="80" xfId="0" applyFont="1" applyBorder="1"/>
    <xf numFmtId="0" fontId="34" fillId="0" borderId="60" xfId="0" applyFont="1" applyBorder="1" applyAlignment="1">
      <alignment horizontal="left" vertical="top" wrapText="1"/>
    </xf>
    <xf numFmtId="0" fontId="34" fillId="0" borderId="0" xfId="0" applyFont="1" applyAlignment="1">
      <alignment horizontal="center" vertical="top" wrapText="1"/>
    </xf>
    <xf numFmtId="0" fontId="35" fillId="23" borderId="61" xfId="0" applyFont="1" applyFill="1" applyBorder="1" applyAlignment="1">
      <alignment horizontal="center" vertical="center"/>
    </xf>
    <xf numFmtId="0" fontId="33" fillId="0" borderId="62" xfId="0" applyFont="1" applyBorder="1"/>
    <xf numFmtId="0" fontId="33" fillId="0" borderId="82" xfId="0" applyFont="1" applyBorder="1"/>
    <xf numFmtId="0" fontId="41" fillId="8" borderId="55" xfId="3" applyFont="1" applyFill="1" applyBorder="1" applyAlignment="1">
      <alignment horizontal="center" vertical="center"/>
    </xf>
    <xf numFmtId="0" fontId="41" fillId="8" borderId="56" xfId="3" applyFont="1" applyFill="1" applyBorder="1" applyAlignment="1">
      <alignment horizontal="center" vertical="center"/>
    </xf>
    <xf numFmtId="0" fontId="41" fillId="8" borderId="26" xfId="3" applyFont="1" applyFill="1" applyBorder="1" applyAlignment="1">
      <alignment horizontal="center" vertical="center"/>
    </xf>
    <xf numFmtId="0" fontId="41" fillId="0" borderId="55" xfId="3" applyFont="1" applyBorder="1" applyAlignment="1">
      <alignment horizontal="center" vertical="center"/>
    </xf>
    <xf numFmtId="0" fontId="41" fillId="0" borderId="56" xfId="3" applyFont="1" applyBorder="1" applyAlignment="1">
      <alignment horizontal="center" vertical="center"/>
    </xf>
    <xf numFmtId="0" fontId="41" fillId="0" borderId="26" xfId="3" applyFont="1" applyBorder="1" applyAlignment="1">
      <alignment horizontal="center" vertical="center"/>
    </xf>
    <xf numFmtId="0" fontId="41" fillId="0" borderId="21" xfId="3" applyFont="1" applyBorder="1" applyAlignment="1">
      <alignment horizontal="center" vertical="center"/>
    </xf>
    <xf numFmtId="0" fontId="46" fillId="0" borderId="53" xfId="0" applyFont="1" applyBorder="1" applyAlignment="1">
      <alignment horizontal="left" vertical="center" wrapText="1"/>
    </xf>
    <xf numFmtId="0" fontId="46" fillId="0" borderId="54" xfId="0" applyFont="1" applyBorder="1" applyAlignment="1">
      <alignment horizontal="left" vertical="center"/>
    </xf>
    <xf numFmtId="0" fontId="46" fillId="0" borderId="93" xfId="0" applyFont="1" applyBorder="1" applyAlignment="1">
      <alignment horizontal="left" vertical="center"/>
    </xf>
    <xf numFmtId="0" fontId="46" fillId="0" borderId="68" xfId="0" applyFont="1" applyBorder="1" applyAlignment="1">
      <alignment horizontal="left" vertical="center"/>
    </xf>
    <xf numFmtId="0" fontId="46" fillId="0" borderId="4" xfId="0" applyFont="1" applyBorder="1" applyAlignment="1">
      <alignment horizontal="center" vertical="center" wrapText="1"/>
    </xf>
    <xf numFmtId="0" fontId="47" fillId="0" borderId="8" xfId="0" applyFont="1" applyBorder="1" applyAlignment="1">
      <alignment horizontal="left" vertical="center" wrapText="1"/>
    </xf>
    <xf numFmtId="0" fontId="47" fillId="0" borderId="66" xfId="0" applyFont="1" applyBorder="1" applyAlignment="1">
      <alignment horizontal="left" vertical="center" wrapText="1"/>
    </xf>
    <xf numFmtId="0" fontId="47" fillId="0" borderId="39" xfId="0" applyFont="1" applyBorder="1" applyAlignment="1">
      <alignment horizontal="left" vertical="center" wrapText="1"/>
    </xf>
    <xf numFmtId="0" fontId="47" fillId="0" borderId="94" xfId="0" applyFont="1" applyBorder="1" applyAlignment="1">
      <alignment horizontal="left" vertical="center" wrapText="1"/>
    </xf>
    <xf numFmtId="0" fontId="47" fillId="0" borderId="68" xfId="0" applyFont="1" applyBorder="1" applyAlignment="1">
      <alignment horizontal="left" vertical="center" wrapText="1"/>
    </xf>
    <xf numFmtId="0" fontId="47" fillId="0" borderId="95" xfId="0" applyFont="1" applyBorder="1" applyAlignment="1">
      <alignment horizontal="left" vertical="center" wrapText="1"/>
    </xf>
    <xf numFmtId="0" fontId="44" fillId="0" borderId="96" xfId="0" applyFont="1" applyBorder="1" applyAlignment="1">
      <alignment horizontal="center" vertical="center"/>
    </xf>
    <xf numFmtId="0" fontId="29" fillId="0" borderId="86" xfId="0" applyFont="1" applyBorder="1"/>
    <xf numFmtId="0" fontId="44" fillId="0" borderId="97" xfId="0" applyFont="1" applyBorder="1" applyAlignment="1">
      <alignment horizontal="center"/>
    </xf>
    <xf numFmtId="0" fontId="29" fillId="0" borderId="52" xfId="0" applyFont="1" applyBorder="1"/>
    <xf numFmtId="0" fontId="38" fillId="12" borderId="58" xfId="3" applyFont="1" applyFill="1" applyBorder="1" applyAlignment="1">
      <alignment horizontal="center"/>
    </xf>
    <xf numFmtId="0" fontId="39" fillId="3" borderId="59" xfId="3" applyFont="1" applyFill="1" applyBorder="1"/>
    <xf numFmtId="0" fontId="39" fillId="3" borderId="80" xfId="3" applyFont="1" applyFill="1" applyBorder="1"/>
    <xf numFmtId="0" fontId="39" fillId="3" borderId="60" xfId="3" applyFont="1" applyFill="1" applyBorder="1"/>
    <xf numFmtId="0" fontId="41" fillId="3" borderId="0" xfId="3" applyFont="1" applyFill="1"/>
    <xf numFmtId="0" fontId="39" fillId="3" borderId="67" xfId="3" applyFont="1" applyFill="1" applyBorder="1"/>
    <xf numFmtId="0" fontId="39" fillId="3" borderId="81" xfId="3" applyFont="1" applyFill="1" applyBorder="1"/>
    <xf numFmtId="0" fontId="39" fillId="3" borderId="68" xfId="3" applyFont="1" applyFill="1" applyBorder="1"/>
    <xf numFmtId="0" fontId="39" fillId="3" borderId="69" xfId="3" applyFont="1" applyFill="1" applyBorder="1"/>
    <xf numFmtId="0" fontId="40" fillId="3" borderId="62" xfId="3" applyFont="1" applyFill="1" applyBorder="1" applyAlignment="1">
      <alignment horizontal="center" vertical="center"/>
    </xf>
    <xf numFmtId="0" fontId="40" fillId="3" borderId="82" xfId="3" applyFont="1" applyFill="1" applyBorder="1" applyAlignment="1">
      <alignment horizontal="center" vertical="center"/>
    </xf>
    <xf numFmtId="0" fontId="27" fillId="0" borderId="85" xfId="3" applyFont="1" applyBorder="1" applyAlignment="1">
      <alignment horizontal="left" vertical="center" wrapText="1"/>
    </xf>
    <xf numFmtId="0" fontId="39" fillId="0" borderId="86" xfId="3" applyFont="1" applyBorder="1"/>
    <xf numFmtId="0" fontId="40" fillId="3" borderId="59" xfId="3" applyFont="1" applyFill="1" applyBorder="1" applyAlignment="1">
      <alignment horizontal="center" vertical="center"/>
    </xf>
    <xf numFmtId="0" fontId="40" fillId="3" borderId="80" xfId="3" applyFont="1" applyFill="1" applyBorder="1" applyAlignment="1">
      <alignment horizontal="center" vertical="center"/>
    </xf>
    <xf numFmtId="0" fontId="40" fillId="3" borderId="68" xfId="3" applyFont="1" applyFill="1" applyBorder="1" applyAlignment="1">
      <alignment horizontal="center" vertical="center"/>
    </xf>
    <xf numFmtId="0" fontId="40" fillId="3" borderId="69" xfId="3" applyFont="1" applyFill="1" applyBorder="1" applyAlignment="1">
      <alignment horizontal="center" vertical="center"/>
    </xf>
    <xf numFmtId="0" fontId="41" fillId="0" borderId="51" xfId="3" applyFont="1" applyBorder="1" applyAlignment="1">
      <alignment horizontal="left"/>
    </xf>
    <xf numFmtId="0" fontId="39" fillId="0" borderId="52" xfId="3" applyFont="1" applyBorder="1"/>
    <xf numFmtId="0" fontId="27" fillId="0" borderId="51" xfId="3" applyFont="1" applyBorder="1" applyAlignment="1">
      <alignment horizontal="left" vertical="center" wrapText="1"/>
    </xf>
    <xf numFmtId="0" fontId="38" fillId="35" borderId="60" xfId="3" applyFont="1" applyFill="1" applyBorder="1" applyAlignment="1">
      <alignment horizontal="center" vertical="center"/>
    </xf>
    <xf numFmtId="0" fontId="39" fillId="0" borderId="63" xfId="3" applyFont="1" applyBorder="1"/>
    <xf numFmtId="0" fontId="24" fillId="38" borderId="78" xfId="0" applyFont="1" applyFill="1" applyBorder="1" applyAlignment="1">
      <alignment horizontal="center" vertical="center" wrapText="1"/>
    </xf>
    <xf numFmtId="0" fontId="44" fillId="0" borderId="10" xfId="3" applyFont="1" applyBorder="1" applyAlignment="1">
      <alignment horizontal="center" vertical="center" wrapText="1"/>
    </xf>
    <xf numFmtId="0" fontId="44" fillId="0" borderId="4" xfId="3" applyFont="1" applyBorder="1" applyAlignment="1">
      <alignment horizontal="center" vertical="center" wrapText="1"/>
    </xf>
    <xf numFmtId="0" fontId="34" fillId="0" borderId="10" xfId="3" applyFont="1" applyBorder="1" applyAlignment="1">
      <alignment horizontal="center" vertical="center" wrapText="1"/>
    </xf>
    <xf numFmtId="0" fontId="34" fillId="0" borderId="4" xfId="3" applyFont="1" applyBorder="1" applyAlignment="1">
      <alignment horizontal="center" vertical="center" wrapText="1"/>
    </xf>
    <xf numFmtId="0" fontId="42" fillId="0" borderId="87" xfId="3" applyFont="1" applyBorder="1" applyAlignment="1">
      <alignment horizontal="center" vertical="center" wrapText="1"/>
    </xf>
    <xf numFmtId="0" fontId="43" fillId="0" borderId="75" xfId="3" applyFont="1" applyBorder="1"/>
    <xf numFmtId="0" fontId="24" fillId="0" borderId="12" xfId="0" applyFont="1" applyBorder="1" applyAlignment="1">
      <alignment horizontal="center" vertical="center" wrapText="1"/>
    </xf>
    <xf numFmtId="0" fontId="24" fillId="0" borderId="11" xfId="0" applyFont="1" applyBorder="1" applyAlignment="1">
      <alignment horizontal="center" vertical="center" wrapText="1"/>
    </xf>
    <xf numFmtId="0" fontId="38" fillId="12" borderId="61" xfId="3" applyFont="1" applyFill="1" applyBorder="1" applyAlignment="1">
      <alignment horizontal="left" vertical="center" wrapText="1"/>
    </xf>
    <xf numFmtId="0" fontId="38" fillId="12" borderId="62" xfId="3" applyFont="1" applyFill="1" applyBorder="1" applyAlignment="1">
      <alignment horizontal="left" vertical="center" wrapText="1"/>
    </xf>
    <xf numFmtId="0" fontId="38" fillId="12" borderId="82" xfId="3" applyFont="1" applyFill="1" applyBorder="1" applyAlignment="1">
      <alignment horizontal="left" vertical="center" wrapText="1"/>
    </xf>
    <xf numFmtId="0" fontId="38" fillId="12" borderId="61" xfId="3" applyFont="1" applyFill="1" applyBorder="1" applyAlignment="1">
      <alignment horizontal="center" vertical="center" wrapText="1"/>
    </xf>
    <xf numFmtId="0" fontId="39" fillId="3" borderId="62" xfId="3" applyFont="1" applyFill="1" applyBorder="1"/>
    <xf numFmtId="0" fontId="39" fillId="3" borderId="70" xfId="3" applyFont="1" applyFill="1" applyBorder="1"/>
    <xf numFmtId="0" fontId="42" fillId="3" borderId="71" xfId="3" applyFont="1" applyFill="1" applyBorder="1" applyAlignment="1">
      <alignment horizontal="center" vertical="center" wrapText="1"/>
    </xf>
    <xf numFmtId="0" fontId="43" fillId="3" borderId="44" xfId="3" applyFont="1" applyFill="1" applyBorder="1"/>
    <xf numFmtId="0" fontId="42" fillId="3" borderId="72" xfId="3" applyFont="1" applyFill="1" applyBorder="1" applyAlignment="1">
      <alignment horizontal="center" vertical="center" wrapText="1"/>
    </xf>
    <xf numFmtId="0" fontId="43" fillId="3" borderId="75" xfId="3" applyFont="1" applyFill="1" applyBorder="1"/>
    <xf numFmtId="0" fontId="42" fillId="0" borderId="65" xfId="3" applyFont="1" applyBorder="1" applyAlignment="1">
      <alignment horizontal="center" vertical="center" wrapText="1"/>
    </xf>
    <xf numFmtId="0" fontId="43" fillId="0" borderId="78" xfId="3" applyFont="1" applyBorder="1"/>
    <xf numFmtId="0" fontId="42" fillId="0" borderId="46" xfId="3" applyFont="1" applyBorder="1" applyAlignment="1">
      <alignment horizontal="center" vertical="center" wrapText="1"/>
    </xf>
    <xf numFmtId="0" fontId="43" fillId="0" borderId="44" xfId="3" applyFont="1" applyBorder="1"/>
    <xf numFmtId="0" fontId="24" fillId="39" borderId="3" xfId="0" applyFont="1" applyFill="1" applyBorder="1" applyAlignment="1">
      <alignment horizontal="center" vertical="center" wrapText="1"/>
    </xf>
    <xf numFmtId="0" fontId="66" fillId="38" borderId="39" xfId="0" applyFont="1" applyFill="1" applyBorder="1" applyAlignment="1">
      <alignment horizontal="center" vertical="center" wrapText="1"/>
    </xf>
    <xf numFmtId="0" fontId="66" fillId="38" borderId="11" xfId="0" applyFont="1" applyFill="1" applyBorder="1" applyAlignment="1">
      <alignment horizontal="center" vertical="center" wrapText="1"/>
    </xf>
    <xf numFmtId="0" fontId="66" fillId="0" borderId="12" xfId="0" applyFont="1" applyBorder="1" applyAlignment="1">
      <alignment horizontal="center" vertical="center" wrapText="1"/>
    </xf>
    <xf numFmtId="0" fontId="66" fillId="0" borderId="92" xfId="0" applyFont="1" applyBorder="1" applyAlignment="1">
      <alignment horizontal="center" vertical="center" wrapText="1"/>
    </xf>
    <xf numFmtId="0" fontId="41" fillId="24" borderId="13" xfId="3" applyFont="1" applyFill="1" applyBorder="1" applyAlignment="1">
      <alignment horizontal="center" vertical="center"/>
    </xf>
    <xf numFmtId="0" fontId="39" fillId="0" borderId="13" xfId="3" applyFont="1" applyBorder="1"/>
    <xf numFmtId="9" fontId="41" fillId="24" borderId="13" xfId="3" applyNumberFormat="1" applyFont="1" applyFill="1" applyBorder="1" applyAlignment="1">
      <alignment horizontal="center" vertical="center"/>
    </xf>
    <xf numFmtId="9" fontId="41" fillId="24" borderId="91" xfId="3" applyNumberFormat="1" applyFont="1" applyFill="1" applyBorder="1" applyAlignment="1">
      <alignment horizontal="center" vertical="center"/>
    </xf>
    <xf numFmtId="0" fontId="39" fillId="0" borderId="91" xfId="3" applyFont="1" applyBorder="1"/>
    <xf numFmtId="0" fontId="24" fillId="0" borderId="92" xfId="0" applyFont="1" applyBorder="1" applyAlignment="1">
      <alignment horizontal="center" vertical="center" wrapText="1"/>
    </xf>
    <xf numFmtId="0" fontId="66" fillId="39" borderId="78" xfId="0" applyFont="1" applyFill="1" applyBorder="1" applyAlignment="1">
      <alignment horizontal="center" vertical="center" wrapText="1"/>
    </xf>
    <xf numFmtId="0" fontId="66" fillId="39" borderId="49" xfId="0" applyFont="1" applyFill="1" applyBorder="1" applyAlignment="1">
      <alignment horizontal="center" vertical="center" wrapText="1"/>
    </xf>
    <xf numFmtId="0" fontId="24" fillId="39" borderId="78" xfId="0" applyFont="1" applyFill="1" applyBorder="1" applyAlignment="1">
      <alignment horizontal="center" vertical="center" wrapText="1"/>
    </xf>
    <xf numFmtId="0" fontId="24" fillId="39" borderId="49" xfId="0" applyFont="1" applyFill="1" applyBorder="1" applyAlignment="1">
      <alignment horizontal="center" vertical="center" wrapText="1"/>
    </xf>
    <xf numFmtId="0" fontId="66" fillId="39" borderId="1" xfId="0" applyFont="1" applyFill="1" applyBorder="1" applyAlignment="1">
      <alignment horizontal="center" vertical="center" wrapText="1"/>
    </xf>
    <xf numFmtId="0" fontId="24" fillId="39" borderId="0" xfId="0" applyFont="1" applyFill="1" applyAlignment="1">
      <alignment horizontal="center" vertical="center" wrapText="1"/>
    </xf>
    <xf numFmtId="0" fontId="24" fillId="0" borderId="4" xfId="0" applyFont="1" applyBorder="1" applyAlignment="1">
      <alignment horizontal="center" vertical="center" wrapText="1"/>
    </xf>
    <xf numFmtId="0" fontId="66" fillId="0" borderId="4" xfId="0" applyFont="1" applyBorder="1" applyAlignment="1">
      <alignment horizontal="center" vertical="center" wrapText="1"/>
    </xf>
    <xf numFmtId="0" fontId="24" fillId="8" borderId="4" xfId="0" applyFont="1" applyFill="1" applyBorder="1" applyAlignment="1">
      <alignment horizontal="center" vertical="center" wrapText="1"/>
    </xf>
    <xf numFmtId="0" fontId="24" fillId="39" borderId="7" xfId="0" applyFont="1" applyFill="1" applyBorder="1" applyAlignment="1">
      <alignment horizontal="center" vertical="center" wrapText="1"/>
    </xf>
    <xf numFmtId="0" fontId="24" fillId="39" borderId="10" xfId="0" applyFont="1" applyFill="1" applyBorder="1" applyAlignment="1">
      <alignment horizontal="center" vertical="center" wrapText="1"/>
    </xf>
    <xf numFmtId="0" fontId="66" fillId="39" borderId="4" xfId="0" applyFont="1" applyFill="1" applyBorder="1" applyAlignment="1">
      <alignment horizontal="center" vertical="center" wrapText="1"/>
    </xf>
    <xf numFmtId="0" fontId="24" fillId="39" borderId="4" xfId="0" applyFont="1" applyFill="1" applyBorder="1" applyAlignment="1">
      <alignment horizontal="center" vertical="center" wrapText="1"/>
    </xf>
    <xf numFmtId="0" fontId="41" fillId="0" borderId="50" xfId="3" applyFont="1" applyBorder="1" applyAlignment="1">
      <alignment horizontal="center" vertical="center" wrapText="1"/>
    </xf>
    <xf numFmtId="0" fontId="41" fillId="0" borderId="51" xfId="3" applyFont="1" applyBorder="1" applyAlignment="1">
      <alignment horizontal="center" vertical="center" wrapText="1"/>
    </xf>
    <xf numFmtId="0" fontId="41" fillId="0" borderId="52" xfId="3" applyFont="1" applyBorder="1" applyAlignment="1">
      <alignment horizontal="center" vertical="center" wrapText="1"/>
    </xf>
    <xf numFmtId="0" fontId="30" fillId="35" borderId="54" xfId="0" applyFont="1" applyFill="1" applyBorder="1"/>
    <xf numFmtId="0" fontId="30" fillId="35" borderId="84" xfId="0" applyFont="1" applyFill="1" applyBorder="1"/>
    <xf numFmtId="0" fontId="30" fillId="35" borderId="0" xfId="0" applyFont="1" applyFill="1"/>
    <xf numFmtId="0" fontId="30" fillId="35" borderId="67" xfId="0" applyFont="1" applyFill="1" applyBorder="1"/>
    <xf numFmtId="0" fontId="30" fillId="35" borderId="68" xfId="0" applyFont="1" applyFill="1" applyBorder="1"/>
    <xf numFmtId="0" fontId="30" fillId="35" borderId="69" xfId="0" applyFont="1" applyFill="1" applyBorder="1"/>
    <xf numFmtId="0" fontId="30" fillId="35" borderId="62" xfId="0" applyFont="1" applyFill="1" applyBorder="1" applyAlignment="1">
      <alignment horizontal="center" wrapText="1"/>
    </xf>
    <xf numFmtId="0" fontId="32" fillId="0" borderId="51" xfId="0" applyFont="1" applyBorder="1" applyAlignment="1">
      <alignment horizontal="center" wrapText="1"/>
    </xf>
    <xf numFmtId="0" fontId="32" fillId="0" borderId="52" xfId="0" applyFont="1" applyBorder="1" applyAlignment="1">
      <alignment horizontal="center" wrapText="1"/>
    </xf>
    <xf numFmtId="0" fontId="30" fillId="35" borderId="58" xfId="0" applyFont="1" applyFill="1" applyBorder="1" applyAlignment="1">
      <alignment horizontal="center" wrapText="1"/>
    </xf>
    <xf numFmtId="0" fontId="30" fillId="35" borderId="59" xfId="0" applyFont="1" applyFill="1" applyBorder="1" applyAlignment="1">
      <alignment horizontal="center" wrapText="1"/>
    </xf>
    <xf numFmtId="0" fontId="30" fillId="35" borderId="81" xfId="0" applyFont="1" applyFill="1" applyBorder="1" applyAlignment="1">
      <alignment horizontal="center" wrapText="1"/>
    </xf>
    <xf numFmtId="0" fontId="30" fillId="35" borderId="68" xfId="0" applyFont="1" applyFill="1" applyBorder="1" applyAlignment="1">
      <alignment horizontal="center" wrapText="1"/>
    </xf>
    <xf numFmtId="0" fontId="32" fillId="0" borderId="51" xfId="0" applyFont="1" applyBorder="1" applyAlignment="1">
      <alignment horizontal="center"/>
    </xf>
    <xf numFmtId="0" fontId="32" fillId="0" borderId="52" xfId="0" applyFont="1" applyBorder="1" applyAlignment="1">
      <alignment horizontal="center"/>
    </xf>
    <xf numFmtId="0" fontId="32" fillId="0" borderId="46" xfId="0" applyFont="1" applyBorder="1" applyAlignment="1">
      <alignment wrapText="1"/>
    </xf>
    <xf numFmtId="0" fontId="32" fillId="0" borderId="44" xfId="0" applyFont="1" applyBorder="1" applyAlignment="1">
      <alignment wrapText="1"/>
    </xf>
    <xf numFmtId="0" fontId="30" fillId="35" borderId="44" xfId="0" applyFont="1" applyFill="1" applyBorder="1"/>
    <xf numFmtId="0" fontId="30" fillId="35" borderId="42" xfId="0" applyFont="1" applyFill="1" applyBorder="1"/>
    <xf numFmtId="0" fontId="32" fillId="0" borderId="100" xfId="0" applyFont="1" applyBorder="1" applyAlignment="1">
      <alignment horizontal="center" vertical="center" wrapText="1"/>
    </xf>
    <xf numFmtId="0" fontId="32" fillId="0" borderId="102" xfId="0" applyFont="1" applyBorder="1" applyAlignment="1">
      <alignment horizontal="center" vertical="center" wrapText="1"/>
    </xf>
    <xf numFmtId="0" fontId="26" fillId="0" borderId="101" xfId="0" applyFont="1" applyBorder="1" applyAlignment="1">
      <alignment horizontal="center" vertical="center" wrapText="1"/>
    </xf>
    <xf numFmtId="0" fontId="26" fillId="0" borderId="10" xfId="0" applyFont="1" applyBorder="1" applyAlignment="1">
      <alignment horizontal="center" vertical="center" wrapText="1"/>
    </xf>
    <xf numFmtId="0" fontId="26" fillId="0" borderId="9" xfId="0" applyFont="1" applyBorder="1" applyAlignment="1">
      <alignment horizontal="center" vertical="center" wrapText="1"/>
    </xf>
    <xf numFmtId="0" fontId="26" fillId="41" borderId="100" xfId="3" applyFont="1" applyFill="1" applyBorder="1" applyAlignment="1">
      <alignment horizontal="center" vertical="center" wrapText="1"/>
    </xf>
    <xf numFmtId="0" fontId="34" fillId="41" borderId="103" xfId="3" applyFont="1" applyFill="1" applyBorder="1" applyAlignment="1">
      <alignment horizontal="center" vertical="center" wrapText="1"/>
    </xf>
    <xf numFmtId="0" fontId="26" fillId="0" borderId="9" xfId="0" applyFont="1" applyBorder="1" applyAlignment="1">
      <alignment wrapText="1"/>
    </xf>
    <xf numFmtId="0" fontId="26" fillId="0" borderId="10" xfId="0" applyFont="1" applyBorder="1" applyAlignment="1">
      <alignment wrapText="1"/>
    </xf>
    <xf numFmtId="0" fontId="26" fillId="0" borderId="9" xfId="0" applyFont="1" applyBorder="1" applyAlignment="1">
      <alignment horizontal="center" wrapText="1"/>
    </xf>
    <xf numFmtId="0" fontId="26" fillId="0" borderId="10" xfId="0" applyFont="1" applyBorder="1" applyAlignment="1">
      <alignment horizontal="center" wrapText="1"/>
    </xf>
    <xf numFmtId="0" fontId="30" fillId="35" borderId="61" xfId="0" applyFont="1" applyFill="1" applyBorder="1" applyAlignment="1">
      <alignment wrapText="1"/>
    </xf>
    <xf numFmtId="0" fontId="30" fillId="35" borderId="62" xfId="0" applyFont="1" applyFill="1" applyBorder="1" applyAlignment="1">
      <alignment wrapText="1"/>
    </xf>
    <xf numFmtId="0" fontId="30" fillId="35" borderId="82" xfId="0" applyFont="1" applyFill="1" applyBorder="1" applyAlignment="1">
      <alignment wrapText="1"/>
    </xf>
    <xf numFmtId="0" fontId="30" fillId="35" borderId="70" xfId="0" applyFont="1" applyFill="1" applyBorder="1" applyAlignment="1">
      <alignment wrapText="1"/>
    </xf>
    <xf numFmtId="0" fontId="32" fillId="0" borderId="71" xfId="0" applyFont="1" applyBorder="1" applyAlignment="1">
      <alignment wrapText="1"/>
    </xf>
    <xf numFmtId="0" fontId="32" fillId="0" borderId="72" xfId="0" applyFont="1" applyBorder="1" applyAlignment="1">
      <alignment wrapText="1"/>
    </xf>
    <xf numFmtId="0" fontId="32" fillId="0" borderId="75" xfId="0" applyFont="1" applyBorder="1" applyAlignment="1">
      <alignment wrapText="1"/>
    </xf>
    <xf numFmtId="0" fontId="32" fillId="0" borderId="98" xfId="0" applyFont="1" applyBorder="1" applyAlignment="1">
      <alignment wrapText="1"/>
    </xf>
    <xf numFmtId="0" fontId="32" fillId="0" borderId="99" xfId="0" applyFont="1" applyBorder="1" applyAlignment="1">
      <alignment wrapText="1"/>
    </xf>
    <xf numFmtId="0" fontId="26" fillId="0" borderId="7" xfId="0" applyFont="1" applyBorder="1" applyAlignment="1">
      <alignment wrapText="1"/>
    </xf>
    <xf numFmtId="0" fontId="26" fillId="0" borderId="7" xfId="0" applyFont="1" applyBorder="1" applyAlignment="1">
      <alignment horizontal="center" wrapText="1"/>
    </xf>
    <xf numFmtId="0" fontId="30" fillId="35" borderId="46" xfId="0" applyFont="1" applyFill="1" applyBorder="1"/>
    <xf numFmtId="0" fontId="32" fillId="0" borderId="104" xfId="0" applyFont="1" applyBorder="1" applyAlignment="1">
      <alignment horizontal="center" vertical="center" wrapText="1"/>
    </xf>
    <xf numFmtId="0" fontId="26" fillId="0" borderId="7" xfId="0" applyFont="1" applyBorder="1" applyAlignment="1">
      <alignment horizontal="center" vertical="center" wrapText="1"/>
    </xf>
    <xf numFmtId="0" fontId="34" fillId="41" borderId="40" xfId="3" applyFont="1" applyFill="1" applyBorder="1" applyAlignment="1">
      <alignment horizontal="center" vertical="center" wrapText="1"/>
    </xf>
    <xf numFmtId="0" fontId="34" fillId="41" borderId="43" xfId="3" applyFont="1" applyFill="1" applyBorder="1" applyAlignment="1">
      <alignment horizontal="center" vertical="center" wrapText="1"/>
    </xf>
    <xf numFmtId="0" fontId="34" fillId="41" borderId="46" xfId="3" applyFont="1" applyFill="1" applyBorder="1" applyAlignment="1">
      <alignment horizontal="center" vertical="center" wrapText="1"/>
    </xf>
    <xf numFmtId="0" fontId="34" fillId="41" borderId="42" xfId="3" applyFont="1" applyFill="1" applyBorder="1" applyAlignment="1">
      <alignment horizontal="center" vertical="center" wrapText="1"/>
    </xf>
    <xf numFmtId="0" fontId="26" fillId="0" borderId="105" xfId="0" applyFont="1" applyBorder="1" applyAlignment="1">
      <alignment horizontal="center" vertical="center" wrapText="1"/>
    </xf>
    <xf numFmtId="0" fontId="32" fillId="8" borderId="104" xfId="0" applyFont="1" applyFill="1" applyBorder="1" applyAlignment="1">
      <alignment horizontal="center" vertical="center" wrapText="1"/>
    </xf>
    <xf numFmtId="0" fontId="32" fillId="8" borderId="102" xfId="0" applyFont="1" applyFill="1" applyBorder="1" applyAlignment="1">
      <alignment horizontal="center" vertical="center" wrapText="1"/>
    </xf>
    <xf numFmtId="0" fontId="67" fillId="0" borderId="104" xfId="0" applyFont="1" applyBorder="1" applyAlignment="1">
      <alignment horizontal="center" vertical="center" wrapText="1"/>
    </xf>
    <xf numFmtId="0" fontId="67" fillId="0" borderId="102" xfId="0" applyFont="1" applyBorder="1" applyAlignment="1">
      <alignment horizontal="center" vertical="center" wrapText="1"/>
    </xf>
    <xf numFmtId="0" fontId="67" fillId="39" borderId="46" xfId="0" applyFont="1" applyFill="1" applyBorder="1" applyAlignment="1">
      <alignment horizontal="center" vertical="center" wrapText="1"/>
    </xf>
    <xf numFmtId="0" fontId="67" fillId="39" borderId="42" xfId="0" applyFont="1" applyFill="1" applyBorder="1" applyAlignment="1">
      <alignment horizontal="center" vertical="center" wrapText="1"/>
    </xf>
    <xf numFmtId="0" fontId="32" fillId="39" borderId="46" xfId="0" applyFont="1" applyFill="1" applyBorder="1" applyAlignment="1">
      <alignment horizontal="center" vertical="center" wrapText="1"/>
    </xf>
    <xf numFmtId="0" fontId="32" fillId="39" borderId="42" xfId="0" applyFont="1" applyFill="1" applyBorder="1" applyAlignment="1">
      <alignment horizontal="center" vertical="center" wrapText="1"/>
    </xf>
    <xf numFmtId="0" fontId="26" fillId="38" borderId="41" xfId="0" applyFont="1" applyFill="1" applyBorder="1" applyAlignment="1">
      <alignment horizontal="center" vertical="center" wrapText="1"/>
    </xf>
    <xf numFmtId="0" fontId="26" fillId="38" borderId="42" xfId="0" applyFont="1" applyFill="1" applyBorder="1" applyAlignment="1">
      <alignment horizontal="center" vertical="center" wrapText="1"/>
    </xf>
    <xf numFmtId="0" fontId="26" fillId="0" borderId="104" xfId="0" applyFont="1" applyBorder="1" applyAlignment="1">
      <alignment horizontal="center" wrapText="1"/>
    </xf>
    <xf numFmtId="0" fontId="26" fillId="0" borderId="102" xfId="0" applyFont="1" applyBorder="1" applyAlignment="1">
      <alignment horizontal="center" wrapText="1"/>
    </xf>
    <xf numFmtId="0" fontId="32" fillId="43" borderId="46" xfId="0" applyFont="1" applyFill="1" applyBorder="1" applyAlignment="1">
      <alignment horizontal="center" vertical="center" wrapText="1"/>
    </xf>
    <xf numFmtId="0" fontId="32" fillId="43" borderId="42" xfId="0" applyFont="1" applyFill="1" applyBorder="1" applyAlignment="1">
      <alignment horizontal="center" vertical="center" wrapText="1"/>
    </xf>
    <xf numFmtId="0" fontId="26" fillId="0" borderId="7" xfId="0" applyFont="1" applyBorder="1" applyAlignment="1">
      <alignment vertical="center" wrapText="1"/>
    </xf>
    <xf numFmtId="0" fontId="26" fillId="0" borderId="10" xfId="0" applyFont="1" applyBorder="1" applyAlignment="1">
      <alignment vertical="center" wrapText="1"/>
    </xf>
    <xf numFmtId="0" fontId="26" fillId="0" borderId="104" xfId="0" applyFont="1" applyBorder="1" applyAlignment="1">
      <alignment horizontal="center" vertical="center" wrapText="1"/>
    </xf>
    <xf numFmtId="0" fontId="26" fillId="0" borderId="102" xfId="0" applyFont="1" applyBorder="1" applyAlignment="1">
      <alignment horizontal="center" vertical="center" wrapText="1"/>
    </xf>
    <xf numFmtId="0" fontId="32" fillId="0" borderId="50" xfId="0" applyFont="1" applyBorder="1" applyAlignment="1">
      <alignment wrapText="1"/>
    </xf>
    <xf numFmtId="0" fontId="32" fillId="0" borderId="51" xfId="0" applyFont="1" applyBorder="1" applyAlignment="1">
      <alignment wrapText="1"/>
    </xf>
    <xf numFmtId="0" fontId="32" fillId="0" borderId="52" xfId="0" applyFont="1" applyBorder="1" applyAlignment="1">
      <alignment wrapText="1"/>
    </xf>
    <xf numFmtId="0" fontId="32" fillId="45" borderId="55" xfId="0" applyFont="1" applyFill="1" applyBorder="1"/>
    <xf numFmtId="0" fontId="32" fillId="45" borderId="56" xfId="0" applyFont="1" applyFill="1" applyBorder="1"/>
    <xf numFmtId="0" fontId="32" fillId="45" borderId="106" xfId="0" applyFont="1" applyFill="1" applyBorder="1"/>
    <xf numFmtId="0" fontId="32" fillId="45" borderId="107" xfId="0" applyFont="1" applyFill="1" applyBorder="1"/>
    <xf numFmtId="0" fontId="46" fillId="0" borderId="4" xfId="0" applyFont="1" applyBorder="1" applyAlignment="1">
      <alignment horizontal="left" vertical="center" wrapText="1"/>
    </xf>
    <xf numFmtId="0" fontId="46" fillId="0" borderId="4" xfId="0" applyFont="1" applyBorder="1" applyAlignment="1">
      <alignment horizontal="left" vertical="center"/>
    </xf>
    <xf numFmtId="0" fontId="47" fillId="0" borderId="4" xfId="0" applyFont="1" applyBorder="1" applyAlignment="1">
      <alignment horizontal="left" vertical="center" wrapText="1"/>
    </xf>
    <xf numFmtId="0" fontId="44" fillId="0" borderId="63" xfId="0" applyFont="1" applyBorder="1" applyAlignment="1">
      <alignment horizontal="center" vertical="center"/>
    </xf>
    <xf numFmtId="0" fontId="29" fillId="0" borderId="49" xfId="0" applyFont="1" applyBorder="1"/>
    <xf numFmtId="0" fontId="30" fillId="35" borderId="58" xfId="0" applyFont="1" applyFill="1" applyBorder="1" applyAlignment="1">
      <alignment wrapText="1"/>
    </xf>
    <xf numFmtId="0" fontId="30" fillId="35" borderId="59" xfId="0" applyFont="1" applyFill="1" applyBorder="1" applyAlignment="1">
      <alignment wrapText="1"/>
    </xf>
    <xf numFmtId="0" fontId="30" fillId="35" borderId="81" xfId="0" applyFont="1" applyFill="1" applyBorder="1" applyAlignment="1">
      <alignment wrapText="1"/>
    </xf>
    <xf numFmtId="0" fontId="30" fillId="35" borderId="68" xfId="0" applyFont="1" applyFill="1" applyBorder="1" applyAlignment="1">
      <alignment wrapText="1"/>
    </xf>
    <xf numFmtId="0" fontId="30" fillId="35" borderId="76" xfId="0" applyFont="1" applyFill="1" applyBorder="1" applyAlignment="1">
      <alignment wrapText="1"/>
    </xf>
    <xf numFmtId="0" fontId="30" fillId="35" borderId="44" xfId="0" applyFont="1" applyFill="1" applyBorder="1" applyAlignment="1">
      <alignment horizontal="center" vertical="center"/>
    </xf>
    <xf numFmtId="0" fontId="30" fillId="35" borderId="42" xfId="0" applyFont="1" applyFill="1" applyBorder="1" applyAlignment="1">
      <alignment horizontal="center" vertical="center"/>
    </xf>
    <xf numFmtId="0" fontId="32" fillId="0" borderId="129" xfId="0" applyFont="1" applyBorder="1" applyAlignment="1">
      <alignment wrapText="1"/>
    </xf>
    <xf numFmtId="0" fontId="32" fillId="0" borderId="103" xfId="0" applyFont="1" applyBorder="1" applyAlignment="1">
      <alignment wrapText="1"/>
    </xf>
    <xf numFmtId="0" fontId="32" fillId="0" borderId="9" xfId="0" applyFont="1" applyBorder="1" applyAlignment="1">
      <alignment wrapText="1"/>
    </xf>
    <xf numFmtId="0" fontId="32" fillId="0" borderId="105" xfId="0" applyFont="1" applyBorder="1" applyAlignment="1">
      <alignment wrapText="1"/>
    </xf>
    <xf numFmtId="0" fontId="26" fillId="0" borderId="105" xfId="0" applyFont="1" applyBorder="1" applyAlignment="1">
      <alignment wrapText="1"/>
    </xf>
    <xf numFmtId="0" fontId="26" fillId="38" borderId="100" xfId="0" applyFont="1" applyFill="1" applyBorder="1" applyAlignment="1">
      <alignment wrapText="1"/>
    </xf>
    <xf numFmtId="0" fontId="26" fillId="38" borderId="103" xfId="0" applyFont="1" applyFill="1" applyBorder="1" applyAlignment="1">
      <alignment wrapText="1"/>
    </xf>
    <xf numFmtId="0" fontId="26" fillId="38" borderId="47" xfId="0" applyFont="1" applyFill="1" applyBorder="1" applyAlignment="1">
      <alignment wrapText="1"/>
    </xf>
    <xf numFmtId="0" fontId="26" fillId="38" borderId="43" xfId="0" applyFont="1" applyFill="1" applyBorder="1" applyAlignment="1">
      <alignment wrapText="1"/>
    </xf>
    <xf numFmtId="0" fontId="26" fillId="38" borderId="44" xfId="0" applyFont="1" applyFill="1" applyBorder="1" applyAlignment="1">
      <alignment wrapText="1"/>
    </xf>
    <xf numFmtId="0" fontId="26" fillId="38" borderId="42" xfId="0" applyFont="1" applyFill="1" applyBorder="1" applyAlignment="1">
      <alignment wrapText="1"/>
    </xf>
    <xf numFmtId="0" fontId="26" fillId="38" borderId="129" xfId="0" applyFont="1" applyFill="1" applyBorder="1" applyAlignment="1">
      <alignment wrapText="1"/>
    </xf>
    <xf numFmtId="0" fontId="67" fillId="45" borderId="129" xfId="0" applyFont="1" applyFill="1" applyBorder="1" applyAlignment="1">
      <alignment wrapText="1"/>
    </xf>
    <xf numFmtId="0" fontId="67" fillId="45" borderId="103" xfId="0" applyFont="1" applyFill="1" applyBorder="1" applyAlignment="1">
      <alignment wrapText="1"/>
    </xf>
    <xf numFmtId="0" fontId="32" fillId="45" borderId="9" xfId="0" applyFont="1" applyFill="1" applyBorder="1" applyAlignment="1">
      <alignment wrapText="1"/>
    </xf>
    <xf numFmtId="0" fontId="32" fillId="45" borderId="105" xfId="0" applyFont="1" applyFill="1" applyBorder="1" applyAlignment="1">
      <alignment wrapText="1"/>
    </xf>
    <xf numFmtId="0" fontId="32" fillId="0" borderId="129" xfId="0" applyFont="1" applyBorder="1" applyAlignment="1">
      <alignment vertical="center" wrapText="1"/>
    </xf>
    <xf numFmtId="0" fontId="32" fillId="0" borderId="103" xfId="0" applyFont="1" applyBorder="1" applyAlignment="1">
      <alignment vertical="center" wrapText="1"/>
    </xf>
    <xf numFmtId="0" fontId="32" fillId="0" borderId="9" xfId="0" applyFont="1" applyBorder="1" applyAlignment="1">
      <alignment vertical="center" wrapText="1"/>
    </xf>
    <xf numFmtId="0" fontId="32" fillId="0" borderId="105" xfId="0" applyFont="1" applyBorder="1" applyAlignment="1">
      <alignment vertical="center" wrapText="1"/>
    </xf>
    <xf numFmtId="0" fontId="67" fillId="0" borderId="9" xfId="0" applyFont="1" applyBorder="1" applyAlignment="1">
      <alignment wrapText="1"/>
    </xf>
    <xf numFmtId="0" fontId="67" fillId="0" borderId="105" xfId="0" applyFont="1" applyBorder="1" applyAlignment="1">
      <alignment wrapText="1"/>
    </xf>
    <xf numFmtId="0" fontId="67" fillId="0" borderId="129" xfId="0" applyFont="1" applyBorder="1" applyAlignment="1">
      <alignment wrapText="1"/>
    </xf>
    <xf numFmtId="0" fontId="67" fillId="0" borderId="103" xfId="0" applyFont="1" applyBorder="1" applyAlignment="1">
      <alignment wrapText="1"/>
    </xf>
    <xf numFmtId="0" fontId="67" fillId="39" borderId="9" xfId="0" applyFont="1" applyFill="1" applyBorder="1" applyAlignment="1">
      <alignment wrapText="1"/>
    </xf>
    <xf numFmtId="0" fontId="67" fillId="39" borderId="10" xfId="0" applyFont="1" applyFill="1" applyBorder="1" applyAlignment="1">
      <alignment wrapText="1"/>
    </xf>
    <xf numFmtId="0" fontId="32" fillId="39" borderId="9" xfId="0" applyFont="1" applyFill="1" applyBorder="1" applyAlignment="1">
      <alignment wrapText="1"/>
    </xf>
    <xf numFmtId="0" fontId="32" fillId="39" borderId="10" xfId="0" applyFont="1" applyFill="1" applyBorder="1" applyAlignment="1">
      <alignment wrapText="1"/>
    </xf>
    <xf numFmtId="0" fontId="26" fillId="0" borderId="129" xfId="0" applyFont="1" applyBorder="1" applyAlignment="1">
      <alignment wrapText="1"/>
    </xf>
    <xf numFmtId="0" fontId="26" fillId="0" borderId="103" xfId="0" applyFont="1" applyBorder="1" applyAlignment="1">
      <alignment wrapText="1"/>
    </xf>
    <xf numFmtId="0" fontId="32" fillId="39" borderId="57" xfId="0" applyFont="1" applyFill="1" applyBorder="1" applyAlignment="1">
      <alignment wrapText="1"/>
    </xf>
    <xf numFmtId="0" fontId="32" fillId="39" borderId="48" xfId="0" applyFont="1" applyFill="1" applyBorder="1" applyAlignment="1">
      <alignment wrapText="1"/>
    </xf>
    <xf numFmtId="0" fontId="32" fillId="0" borderId="10" xfId="0" applyFont="1" applyBorder="1" applyAlignment="1">
      <alignment wrapText="1"/>
    </xf>
    <xf numFmtId="0" fontId="32" fillId="65" borderId="129" xfId="0" applyFont="1" applyFill="1" applyBorder="1" applyAlignment="1">
      <alignment wrapText="1"/>
    </xf>
    <xf numFmtId="0" fontId="32" fillId="65" borderId="103" xfId="0" applyFont="1" applyFill="1" applyBorder="1" applyAlignment="1">
      <alignment wrapText="1"/>
    </xf>
    <xf numFmtId="0" fontId="32" fillId="65" borderId="9" xfId="0" applyFont="1" applyFill="1" applyBorder="1" applyAlignment="1">
      <alignment wrapText="1"/>
    </xf>
    <xf numFmtId="0" fontId="32" fillId="65" borderId="10" xfId="0" applyFont="1" applyFill="1" applyBorder="1" applyAlignment="1">
      <alignment wrapText="1"/>
    </xf>
    <xf numFmtId="0" fontId="27" fillId="0" borderId="0" xfId="0" applyFont="1" applyAlignment="1">
      <alignment horizontal="right"/>
    </xf>
    <xf numFmtId="0" fontId="32" fillId="0" borderId="50" xfId="0" applyFont="1" applyBorder="1" applyAlignment="1">
      <alignment horizontal="right" wrapText="1"/>
    </xf>
    <xf numFmtId="0" fontId="32" fillId="0" borderId="51" xfId="0" applyFont="1" applyBorder="1" applyAlignment="1">
      <alignment horizontal="right" wrapText="1"/>
    </xf>
    <xf numFmtId="0" fontId="32" fillId="0" borderId="54" xfId="0" applyFont="1" applyBorder="1" applyAlignment="1">
      <alignment horizontal="right"/>
    </xf>
    <xf numFmtId="0" fontId="32" fillId="45" borderId="55" xfId="0" applyFont="1" applyFill="1" applyBorder="1" applyAlignment="1">
      <alignment horizontal="center"/>
    </xf>
    <xf numFmtId="0" fontId="32" fillId="45" borderId="56" xfId="0" applyFont="1" applyFill="1" applyBorder="1" applyAlignment="1">
      <alignment horizontal="center"/>
    </xf>
    <xf numFmtId="0" fontId="32" fillId="45" borderId="106" xfId="0" applyFont="1" applyFill="1" applyBorder="1" applyAlignment="1">
      <alignment horizontal="center"/>
    </xf>
    <xf numFmtId="0" fontId="32" fillId="39" borderId="44" xfId="0" applyFont="1" applyFill="1" applyBorder="1" applyAlignment="1">
      <alignment wrapText="1"/>
    </xf>
    <xf numFmtId="0" fontId="32" fillId="39" borderId="42" xfId="0" applyFont="1" applyFill="1" applyBorder="1" applyAlignment="1">
      <alignment wrapText="1"/>
    </xf>
    <xf numFmtId="0" fontId="32" fillId="39" borderId="129" xfId="0" applyFont="1" applyFill="1" applyBorder="1" applyAlignment="1">
      <alignment wrapText="1"/>
    </xf>
    <xf numFmtId="0" fontId="55" fillId="0" borderId="16" xfId="0" applyFont="1" applyBorder="1" applyAlignment="1">
      <alignment horizontal="center" vertical="center"/>
    </xf>
    <xf numFmtId="0" fontId="55" fillId="0" borderId="17" xfId="0" applyFont="1" applyBorder="1" applyAlignment="1">
      <alignment horizontal="center" vertical="center"/>
    </xf>
    <xf numFmtId="0" fontId="55" fillId="0" borderId="18" xfId="0" applyFont="1" applyBorder="1" applyAlignment="1">
      <alignment horizontal="center" vertical="center"/>
    </xf>
    <xf numFmtId="0" fontId="55" fillId="0" borderId="20" xfId="0" applyFont="1" applyBorder="1" applyAlignment="1">
      <alignment horizontal="center" vertical="center"/>
    </xf>
    <xf numFmtId="0" fontId="55" fillId="0" borderId="21" xfId="0" applyFont="1" applyBorder="1" applyAlignment="1">
      <alignment horizontal="center" vertical="center"/>
    </xf>
    <xf numFmtId="0" fontId="55" fillId="0" borderId="22" xfId="0" applyFont="1" applyBorder="1" applyAlignment="1">
      <alignment horizontal="center" vertical="center"/>
    </xf>
    <xf numFmtId="9" fontId="52" fillId="0" borderId="146" xfId="0" applyNumberFormat="1" applyFont="1" applyBorder="1" applyAlignment="1">
      <alignment horizontal="center" vertical="center"/>
    </xf>
    <xf numFmtId="0" fontId="29" fillId="0" borderId="146" xfId="0" applyFont="1" applyBorder="1" applyAlignment="1">
      <alignment horizontal="center" vertical="center"/>
    </xf>
    <xf numFmtId="0" fontId="29" fillId="0" borderId="147" xfId="0" applyFont="1" applyBorder="1" applyAlignment="1">
      <alignment horizontal="center" vertical="center"/>
    </xf>
    <xf numFmtId="9" fontId="52" fillId="0" borderId="148" xfId="0" applyNumberFormat="1" applyFont="1" applyBorder="1" applyAlignment="1">
      <alignment horizontal="center" vertical="center"/>
    </xf>
    <xf numFmtId="0" fontId="29" fillId="0" borderId="149" xfId="0" applyFont="1" applyBorder="1" applyAlignment="1">
      <alignment horizontal="center" vertical="center"/>
    </xf>
    <xf numFmtId="0" fontId="0" fillId="0" borderId="50" xfId="0" applyBorder="1" applyAlignment="1">
      <alignment horizontal="center" vertical="center"/>
    </xf>
    <xf numFmtId="0" fontId="29" fillId="0" borderId="51" xfId="0" applyFont="1" applyBorder="1" applyAlignment="1">
      <alignment horizontal="center" vertical="center"/>
    </xf>
    <xf numFmtId="0" fontId="29" fillId="0" borderId="52" xfId="0" applyFont="1" applyBorder="1" applyAlignment="1">
      <alignment horizontal="center" vertical="center"/>
    </xf>
    <xf numFmtId="0" fontId="52" fillId="0" borderId="144" xfId="0" applyFont="1" applyBorder="1" applyAlignment="1">
      <alignment horizontal="center" vertical="center"/>
    </xf>
    <xf numFmtId="0" fontId="29" fillId="0" borderId="142" xfId="0" applyFont="1" applyBorder="1" applyAlignment="1">
      <alignment horizontal="center" vertical="center"/>
    </xf>
    <xf numFmtId="0" fontId="29" fillId="0" borderId="145" xfId="0" applyFont="1" applyBorder="1" applyAlignment="1">
      <alignment horizontal="center" vertical="center"/>
    </xf>
    <xf numFmtId="0" fontId="55" fillId="0" borderId="53" xfId="0" applyFont="1" applyBorder="1" applyAlignment="1">
      <alignment horizontal="center" vertical="center"/>
    </xf>
    <xf numFmtId="0" fontId="55" fillId="0" borderId="54" xfId="0" applyFont="1" applyBorder="1" applyAlignment="1">
      <alignment horizontal="center" vertical="center"/>
    </xf>
    <xf numFmtId="0" fontId="55" fillId="0" borderId="57" xfId="0" applyFont="1" applyBorder="1" applyAlignment="1">
      <alignment horizontal="center" vertical="center"/>
    </xf>
    <xf numFmtId="0" fontId="55" fillId="0" borderId="0" xfId="0" applyFont="1" applyAlignment="1">
      <alignment horizontal="center" vertical="center"/>
    </xf>
    <xf numFmtId="0" fontId="52" fillId="0" borderId="54" xfId="0" applyFont="1" applyBorder="1" applyAlignment="1">
      <alignment horizontal="center" vertical="center" wrapText="1"/>
    </xf>
    <xf numFmtId="0" fontId="29" fillId="0" borderId="54" xfId="0" applyFont="1" applyBorder="1" applyAlignment="1">
      <alignment horizontal="center" vertical="center" wrapText="1"/>
    </xf>
    <xf numFmtId="0" fontId="29" fillId="0" borderId="65" xfId="0" applyFont="1" applyBorder="1" applyAlignment="1">
      <alignment horizontal="center" vertical="center" wrapText="1"/>
    </xf>
    <xf numFmtId="0" fontId="29" fillId="0" borderId="0" xfId="0" applyFont="1" applyAlignment="1">
      <alignment horizontal="center" vertical="center" wrapText="1"/>
    </xf>
    <xf numFmtId="0" fontId="29" fillId="0" borderId="78" xfId="0" applyFont="1" applyBorder="1" applyAlignment="1">
      <alignment horizontal="center" vertical="center" wrapText="1"/>
    </xf>
    <xf numFmtId="0" fontId="52" fillId="0" borderId="142" xfId="0" applyFont="1" applyBorder="1" applyAlignment="1">
      <alignment horizontal="center" vertical="center"/>
    </xf>
    <xf numFmtId="0" fontId="29" fillId="0" borderId="143" xfId="0" applyFont="1" applyBorder="1" applyAlignment="1">
      <alignment horizontal="center" vertical="center"/>
    </xf>
    <xf numFmtId="9" fontId="52" fillId="0" borderId="142" xfId="0" applyNumberFormat="1" applyFont="1" applyBorder="1" applyAlignment="1">
      <alignment horizontal="center" vertical="center"/>
    </xf>
    <xf numFmtId="9" fontId="52" fillId="0" borderId="144" xfId="0" applyNumberFormat="1" applyFont="1" applyBorder="1" applyAlignment="1">
      <alignment horizontal="center" vertical="center"/>
    </xf>
    <xf numFmtId="0" fontId="55" fillId="0" borderId="50" xfId="0" applyFont="1" applyBorder="1" applyAlignment="1">
      <alignment horizontal="center" vertical="center" wrapText="1"/>
    </xf>
    <xf numFmtId="0" fontId="55" fillId="0" borderId="51" xfId="0" applyFont="1" applyBorder="1" applyAlignment="1">
      <alignment horizontal="center" vertical="center" wrapText="1"/>
    </xf>
    <xf numFmtId="9" fontId="52" fillId="0" borderId="29" xfId="0" applyNumberFormat="1" applyFont="1" applyBorder="1" applyAlignment="1">
      <alignment horizontal="center" vertical="center"/>
    </xf>
    <xf numFmtId="9" fontId="52" fillId="0" borderId="122" xfId="0" applyNumberFormat="1" applyFont="1" applyBorder="1" applyAlignment="1">
      <alignment horizontal="center" vertical="center"/>
    </xf>
    <xf numFmtId="0" fontId="58" fillId="0" borderId="50" xfId="0" applyFont="1" applyBorder="1" applyAlignment="1">
      <alignment horizontal="center" vertical="center" wrapText="1"/>
    </xf>
    <xf numFmtId="0" fontId="58" fillId="0" borderId="51" xfId="0" applyFont="1" applyBorder="1" applyAlignment="1">
      <alignment horizontal="center" vertical="center" wrapText="1"/>
    </xf>
    <xf numFmtId="0" fontId="58" fillId="0" borderId="52" xfId="0" applyFont="1" applyBorder="1" applyAlignment="1">
      <alignment horizontal="center" vertical="center" wrapText="1"/>
    </xf>
    <xf numFmtId="9" fontId="52" fillId="0" borderId="50" xfId="0" applyNumberFormat="1" applyFont="1" applyBorder="1" applyAlignment="1">
      <alignment horizontal="center" vertical="center"/>
    </xf>
    <xf numFmtId="9" fontId="52" fillId="0" borderId="51" xfId="0" applyNumberFormat="1" applyFont="1" applyBorder="1" applyAlignment="1">
      <alignment horizontal="center" vertical="center"/>
    </xf>
    <xf numFmtId="9" fontId="52" fillId="0" borderId="52" xfId="0" applyNumberFormat="1" applyFont="1" applyBorder="1" applyAlignment="1">
      <alignment horizontal="center" vertical="center"/>
    </xf>
    <xf numFmtId="0" fontId="55" fillId="61" borderId="50" xfId="0" applyFont="1" applyFill="1" applyBorder="1" applyAlignment="1">
      <alignment horizontal="center" vertical="center"/>
    </xf>
    <xf numFmtId="0" fontId="55" fillId="61" borderId="51" xfId="0" applyFont="1" applyFill="1" applyBorder="1" applyAlignment="1">
      <alignment horizontal="center" vertical="center"/>
    </xf>
    <xf numFmtId="0" fontId="55" fillId="49" borderId="138" xfId="0" applyFont="1" applyFill="1" applyBorder="1" applyAlignment="1">
      <alignment horizontal="center" vertical="center"/>
    </xf>
    <xf numFmtId="0" fontId="29" fillId="0" borderId="139" xfId="0" applyFont="1" applyBorder="1" applyAlignment="1">
      <alignment horizontal="center" vertical="center"/>
    </xf>
    <xf numFmtId="0" fontId="29" fillId="0" borderId="140" xfId="0" applyFont="1" applyBorder="1" applyAlignment="1">
      <alignment horizontal="center" vertical="center"/>
    </xf>
    <xf numFmtId="0" fontId="29" fillId="0" borderId="141" xfId="0" applyFont="1" applyBorder="1" applyAlignment="1">
      <alignment horizontal="center" vertical="center"/>
    </xf>
    <xf numFmtId="0" fontId="52" fillId="0" borderId="50" xfId="0" applyFont="1" applyBorder="1" applyAlignment="1">
      <alignment horizontal="center" vertical="center"/>
    </xf>
    <xf numFmtId="0" fontId="52" fillId="0" borderId="51" xfId="0" applyFont="1" applyBorder="1" applyAlignment="1">
      <alignment horizontal="center" vertical="center"/>
    </xf>
    <xf numFmtId="0" fontId="52" fillId="0" borderId="52" xfId="0" applyFont="1" applyBorder="1" applyAlignment="1">
      <alignment horizontal="center" vertical="center"/>
    </xf>
    <xf numFmtId="9" fontId="46" fillId="34" borderId="124" xfId="0" applyNumberFormat="1" applyFont="1" applyFill="1" applyBorder="1" applyAlignment="1">
      <alignment horizontal="center" vertical="center"/>
    </xf>
    <xf numFmtId="0" fontId="29" fillId="0" borderId="36" xfId="0" applyFont="1" applyBorder="1" applyAlignment="1">
      <alignment horizontal="center" vertical="center"/>
    </xf>
    <xf numFmtId="9" fontId="46" fillId="34" borderId="3" xfId="0" applyNumberFormat="1" applyFont="1" applyFill="1" applyBorder="1" applyAlignment="1">
      <alignment horizontal="center" vertical="center"/>
    </xf>
    <xf numFmtId="0" fontId="29" fillId="0" borderId="3" xfId="0" applyFont="1" applyBorder="1" applyAlignment="1">
      <alignment horizontal="center" vertical="center"/>
    </xf>
    <xf numFmtId="0" fontId="56" fillId="59" borderId="109" xfId="0" applyFont="1" applyFill="1" applyBorder="1" applyAlignment="1">
      <alignment horizontal="center" vertical="center" textRotation="255"/>
    </xf>
    <xf numFmtId="0" fontId="63" fillId="0" borderId="109" xfId="0" applyFont="1" applyBorder="1" applyAlignment="1">
      <alignment horizontal="center" vertical="center"/>
    </xf>
    <xf numFmtId="0" fontId="56" fillId="33" borderId="109" xfId="0" applyFont="1" applyFill="1" applyBorder="1" applyAlignment="1">
      <alignment horizontal="center" vertical="center" textRotation="90" wrapText="1"/>
    </xf>
    <xf numFmtId="0" fontId="46" fillId="60" borderId="61" xfId="0" applyFont="1" applyFill="1" applyBorder="1" applyAlignment="1">
      <alignment horizontal="center" vertical="center" textRotation="90" wrapText="1"/>
    </xf>
    <xf numFmtId="0" fontId="29" fillId="0" borderId="61" xfId="0" applyFont="1" applyBorder="1" applyAlignment="1">
      <alignment horizontal="center" vertical="center"/>
    </xf>
    <xf numFmtId="0" fontId="46" fillId="0" borderId="123" xfId="0" applyFont="1" applyBorder="1" applyAlignment="1">
      <alignment horizontal="left" vertical="center" wrapText="1"/>
    </xf>
    <xf numFmtId="0" fontId="46" fillId="0" borderId="0" xfId="0" applyFont="1" applyAlignment="1">
      <alignment horizontal="left" vertical="center" wrapText="1"/>
    </xf>
    <xf numFmtId="0" fontId="46" fillId="0" borderId="20" xfId="0" applyFont="1" applyBorder="1" applyAlignment="1">
      <alignment horizontal="left" vertical="center" wrapText="1"/>
    </xf>
    <xf numFmtId="0" fontId="46" fillId="0" borderId="21" xfId="0" applyFont="1" applyBorder="1" applyAlignment="1">
      <alignment horizontal="left" vertical="center" wrapText="1"/>
    </xf>
    <xf numFmtId="0" fontId="46" fillId="34" borderId="44" xfId="0" applyFont="1" applyFill="1" applyBorder="1" applyAlignment="1">
      <alignment horizontal="center" vertical="center" wrapText="1"/>
    </xf>
    <xf numFmtId="0" fontId="29" fillId="0" borderId="127" xfId="0" applyFont="1" applyBorder="1" applyAlignment="1">
      <alignment horizontal="center" vertical="center"/>
    </xf>
    <xf numFmtId="0" fontId="46" fillId="11" borderId="48" xfId="0" applyFont="1" applyFill="1" applyBorder="1" applyAlignment="1">
      <alignment horizontal="center" vertical="center" wrapText="1"/>
    </xf>
    <xf numFmtId="0" fontId="46" fillId="11" borderId="130" xfId="0" applyFont="1" applyFill="1" applyBorder="1" applyAlignment="1">
      <alignment horizontal="center" vertical="center" wrapText="1"/>
    </xf>
    <xf numFmtId="0" fontId="29" fillId="55" borderId="58" xfId="0" applyFont="1" applyFill="1" applyBorder="1" applyAlignment="1">
      <alignment horizontal="center" vertical="center" textRotation="90" wrapText="1"/>
    </xf>
    <xf numFmtId="0" fontId="29" fillId="55" borderId="60" xfId="0" applyFont="1" applyFill="1" applyBorder="1" applyAlignment="1">
      <alignment horizontal="center" vertical="center" textRotation="90" wrapText="1"/>
    </xf>
    <xf numFmtId="0" fontId="29" fillId="55" borderId="81" xfId="0" applyFont="1" applyFill="1" applyBorder="1" applyAlignment="1">
      <alignment horizontal="center" vertical="center" textRotation="90" wrapText="1"/>
    </xf>
    <xf numFmtId="9" fontId="46" fillId="34" borderId="11" xfId="0" applyNumberFormat="1" applyFont="1" applyFill="1" applyBorder="1" applyAlignment="1">
      <alignment horizontal="center" vertical="center"/>
    </xf>
    <xf numFmtId="9" fontId="46" fillId="34" borderId="116" xfId="0" applyNumberFormat="1" applyFont="1" applyFill="1" applyBorder="1" applyAlignment="1">
      <alignment horizontal="center" vertical="center"/>
    </xf>
    <xf numFmtId="0" fontId="46" fillId="51" borderId="4" xfId="0" applyFont="1" applyFill="1" applyBorder="1" applyAlignment="1">
      <alignment horizontal="center" vertical="center" wrapText="1"/>
    </xf>
    <xf numFmtId="0" fontId="29" fillId="8" borderId="8" xfId="0" applyFont="1" applyFill="1" applyBorder="1" applyAlignment="1">
      <alignment horizontal="left" vertical="center" wrapText="1"/>
    </xf>
    <xf numFmtId="0" fontId="29" fillId="8" borderId="66" xfId="0" applyFont="1" applyFill="1" applyBorder="1" applyAlignment="1">
      <alignment horizontal="left" vertical="center" wrapText="1"/>
    </xf>
    <xf numFmtId="0" fontId="29" fillId="8" borderId="39" xfId="0" applyFont="1" applyFill="1" applyBorder="1" applyAlignment="1">
      <alignment horizontal="left" vertical="center" wrapText="1"/>
    </xf>
    <xf numFmtId="0" fontId="29" fillId="8" borderId="5" xfId="0" applyFont="1" applyFill="1" applyBorder="1" applyAlignment="1">
      <alignment horizontal="left" vertical="center" wrapText="1"/>
    </xf>
    <xf numFmtId="0" fontId="29" fillId="8" borderId="6" xfId="0" applyFont="1" applyFill="1" applyBorder="1" applyAlignment="1">
      <alignment horizontal="left" vertical="center" wrapText="1"/>
    </xf>
    <xf numFmtId="0" fontId="29" fillId="8" borderId="11" xfId="0" applyFont="1" applyFill="1" applyBorder="1" applyAlignment="1">
      <alignment horizontal="left" vertical="center" wrapText="1"/>
    </xf>
    <xf numFmtId="0" fontId="29" fillId="0" borderId="8" xfId="0" applyFont="1" applyBorder="1" applyAlignment="1">
      <alignment horizontal="center" vertical="center" wrapText="1"/>
    </xf>
    <xf numFmtId="0" fontId="29" fillId="0" borderId="5" xfId="0" applyFont="1" applyBorder="1" applyAlignment="1">
      <alignment horizontal="center" vertical="center" wrapText="1"/>
    </xf>
    <xf numFmtId="0" fontId="46" fillId="8" borderId="123" xfId="0" applyFont="1" applyFill="1" applyBorder="1" applyAlignment="1">
      <alignment horizontal="left" vertical="center" wrapText="1"/>
    </xf>
    <xf numFmtId="0" fontId="46" fillId="8" borderId="0" xfId="0" applyFont="1" applyFill="1" applyAlignment="1">
      <alignment horizontal="left" vertical="center" wrapText="1"/>
    </xf>
    <xf numFmtId="0" fontId="46" fillId="8" borderId="20" xfId="0" applyFont="1" applyFill="1" applyBorder="1" applyAlignment="1">
      <alignment horizontal="left" vertical="center" wrapText="1"/>
    </xf>
    <xf numFmtId="0" fontId="46" fillId="8" borderId="21" xfId="0" applyFont="1" applyFill="1" applyBorder="1" applyAlignment="1">
      <alignment horizontal="left" vertical="center" wrapText="1"/>
    </xf>
    <xf numFmtId="0" fontId="46" fillId="51" borderId="48" xfId="0" applyFont="1" applyFill="1" applyBorder="1" applyAlignment="1">
      <alignment horizontal="center" vertical="center" wrapText="1"/>
    </xf>
    <xf numFmtId="0" fontId="46" fillId="51" borderId="130" xfId="0" applyFont="1" applyFill="1" applyBorder="1" applyAlignment="1">
      <alignment horizontal="center" vertical="center" wrapText="1"/>
    </xf>
    <xf numFmtId="0" fontId="56" fillId="56" borderId="109" xfId="0" applyFont="1" applyFill="1" applyBorder="1" applyAlignment="1">
      <alignment horizontal="center" vertical="center" textRotation="255"/>
    </xf>
    <xf numFmtId="0" fontId="56" fillId="57" borderId="109" xfId="0" applyFont="1" applyFill="1" applyBorder="1" applyAlignment="1">
      <alignment horizontal="center" vertical="center" textRotation="90" wrapText="1"/>
    </xf>
    <xf numFmtId="0" fontId="46" fillId="58" borderId="61" xfId="0" applyFont="1" applyFill="1" applyBorder="1" applyAlignment="1">
      <alignment horizontal="center" vertical="center" textRotation="90" wrapText="1"/>
    </xf>
    <xf numFmtId="0" fontId="29" fillId="8" borderId="4" xfId="0" applyFont="1" applyFill="1" applyBorder="1" applyAlignment="1">
      <alignment horizontal="left" vertical="center" wrapText="1"/>
    </xf>
    <xf numFmtId="0" fontId="29" fillId="0" borderId="1" xfId="0" applyFont="1" applyBorder="1" applyAlignment="1">
      <alignment horizontal="center" vertical="center" wrapText="1"/>
    </xf>
    <xf numFmtId="0" fontId="56" fillId="52" borderId="109" xfId="0" applyFont="1" applyFill="1" applyBorder="1" applyAlignment="1">
      <alignment horizontal="center" vertical="center" textRotation="255"/>
    </xf>
    <xf numFmtId="0" fontId="56" fillId="53" borderId="109" xfId="0" applyFont="1" applyFill="1" applyBorder="1" applyAlignment="1">
      <alignment horizontal="center" vertical="center" textRotation="90" wrapText="1"/>
    </xf>
    <xf numFmtId="0" fontId="46" fillId="54" borderId="61" xfId="0" applyFont="1" applyFill="1" applyBorder="1" applyAlignment="1">
      <alignment horizontal="center" vertical="center" textRotation="90" wrapText="1"/>
    </xf>
    <xf numFmtId="0" fontId="46" fillId="54" borderId="133" xfId="0" applyFont="1" applyFill="1" applyBorder="1" applyAlignment="1">
      <alignment horizontal="center" vertical="center" textRotation="90" wrapText="1"/>
    </xf>
    <xf numFmtId="0" fontId="46" fillId="54" borderId="134" xfId="0" applyFont="1" applyFill="1" applyBorder="1" applyAlignment="1">
      <alignment horizontal="center" vertical="center" textRotation="90" wrapText="1"/>
    </xf>
    <xf numFmtId="0" fontId="46" fillId="54" borderId="135" xfId="0" applyFont="1" applyFill="1" applyBorder="1" applyAlignment="1">
      <alignment horizontal="center" vertical="center" textRotation="90" wrapText="1"/>
    </xf>
    <xf numFmtId="0" fontId="29" fillId="0" borderId="44" xfId="0" applyFont="1" applyBorder="1" applyAlignment="1">
      <alignment horizontal="center" vertical="center"/>
    </xf>
    <xf numFmtId="0" fontId="29" fillId="0" borderId="44" xfId="0" applyFont="1" applyBorder="1" applyAlignment="1">
      <alignment horizontal="center" vertical="center" wrapText="1"/>
    </xf>
    <xf numFmtId="0" fontId="29" fillId="0" borderId="127" xfId="0" applyFont="1" applyBorder="1" applyAlignment="1">
      <alignment horizontal="center" vertical="center" wrapText="1"/>
    </xf>
    <xf numFmtId="0" fontId="46" fillId="8" borderId="10" xfId="0" applyFont="1" applyFill="1" applyBorder="1" applyAlignment="1">
      <alignment horizontal="left" vertical="center" wrapText="1"/>
    </xf>
    <xf numFmtId="0" fontId="46" fillId="8" borderId="4" xfId="0" applyFont="1" applyFill="1" applyBorder="1" applyAlignment="1">
      <alignment horizontal="left" vertical="center" wrapText="1"/>
    </xf>
    <xf numFmtId="0" fontId="46" fillId="34" borderId="14" xfId="0" applyFont="1" applyFill="1" applyBorder="1" applyAlignment="1">
      <alignment horizontal="center" vertical="center" wrapText="1"/>
    </xf>
    <xf numFmtId="0" fontId="29" fillId="8" borderId="7" xfId="0" applyFont="1" applyFill="1" applyBorder="1" applyAlignment="1">
      <alignment horizontal="left" vertical="center" wrapText="1"/>
    </xf>
    <xf numFmtId="0" fontId="29" fillId="8" borderId="27" xfId="0" applyFont="1" applyFill="1" applyBorder="1" applyAlignment="1">
      <alignment horizontal="left" vertical="center" wrapText="1"/>
    </xf>
    <xf numFmtId="0" fontId="29" fillId="8" borderId="10" xfId="0" applyFont="1" applyFill="1" applyBorder="1" applyAlignment="1">
      <alignment horizontal="left" vertical="center" wrapText="1"/>
    </xf>
    <xf numFmtId="0" fontId="29" fillId="8" borderId="136" xfId="0" applyFont="1" applyFill="1" applyBorder="1" applyAlignment="1">
      <alignment horizontal="left" vertical="center" wrapText="1"/>
    </xf>
    <xf numFmtId="0" fontId="46" fillId="51" borderId="53" xfId="0" applyFont="1" applyFill="1" applyBorder="1" applyAlignment="1">
      <alignment horizontal="center" vertical="center" wrapText="1"/>
    </xf>
    <xf numFmtId="0" fontId="29" fillId="0" borderId="10" xfId="0" applyFont="1" applyBorder="1" applyAlignment="1">
      <alignment horizontal="center" vertical="center" wrapText="1"/>
    </xf>
    <xf numFmtId="0" fontId="29" fillId="0" borderId="4" xfId="0" applyFont="1" applyBorder="1" applyAlignment="1">
      <alignment horizontal="center" vertical="center" wrapText="1"/>
    </xf>
    <xf numFmtId="0" fontId="46" fillId="51" borderId="7" xfId="0" applyFont="1" applyFill="1" applyBorder="1" applyAlignment="1">
      <alignment horizontal="center" vertical="center" wrapText="1"/>
    </xf>
    <xf numFmtId="0" fontId="46" fillId="51" borderId="10" xfId="0" applyFont="1" applyFill="1" applyBorder="1" applyAlignment="1">
      <alignment horizontal="center" vertical="center" wrapText="1"/>
    </xf>
    <xf numFmtId="9" fontId="46" fillId="34" borderId="36" xfId="0" applyNumberFormat="1" applyFont="1" applyFill="1" applyBorder="1" applyAlignment="1">
      <alignment horizontal="center" vertical="center"/>
    </xf>
    <xf numFmtId="9" fontId="46" fillId="34" borderId="131" xfId="0" applyNumberFormat="1" applyFont="1" applyFill="1" applyBorder="1" applyAlignment="1">
      <alignment horizontal="center" vertical="center"/>
    </xf>
    <xf numFmtId="0" fontId="29" fillId="0" borderId="132" xfId="0" applyFont="1" applyBorder="1" applyAlignment="1">
      <alignment horizontal="center" vertical="center"/>
    </xf>
    <xf numFmtId="0" fontId="29" fillId="0" borderId="137" xfId="0" applyFont="1" applyBorder="1" applyAlignment="1">
      <alignment horizontal="center" vertical="center"/>
    </xf>
    <xf numFmtId="0" fontId="46" fillId="8" borderId="38" xfId="0" applyFont="1" applyFill="1" applyBorder="1" applyAlignment="1">
      <alignment horizontal="left" vertical="center" wrapText="1"/>
    </xf>
    <xf numFmtId="0" fontId="46" fillId="34" borderId="38" xfId="0" applyFont="1" applyFill="1" applyBorder="1" applyAlignment="1">
      <alignment horizontal="center" vertical="center" wrapText="1"/>
    </xf>
    <xf numFmtId="0" fontId="29" fillId="0" borderId="38" xfId="0" applyFont="1" applyBorder="1" applyAlignment="1">
      <alignment horizontal="center" vertical="center"/>
    </xf>
    <xf numFmtId="0" fontId="46" fillId="51" borderId="3" xfId="0" applyFont="1" applyFill="1" applyBorder="1" applyAlignment="1">
      <alignment horizontal="center" vertical="center" wrapText="1"/>
    </xf>
    <xf numFmtId="0" fontId="29" fillId="0" borderId="38" xfId="0" applyFont="1" applyBorder="1" applyAlignment="1">
      <alignment horizontal="center" vertical="top" wrapText="1"/>
    </xf>
    <xf numFmtId="0" fontId="29" fillId="0" borderId="38" xfId="0" applyFont="1" applyBorder="1" applyAlignment="1">
      <alignment horizontal="center" vertical="top"/>
    </xf>
    <xf numFmtId="0" fontId="46" fillId="51" borderId="2" xfId="0" applyFont="1" applyFill="1" applyBorder="1" applyAlignment="1">
      <alignment horizontal="center" vertical="center" wrapText="1"/>
    </xf>
    <xf numFmtId="0" fontId="46" fillId="51" borderId="57" xfId="0" applyFont="1" applyFill="1" applyBorder="1" applyAlignment="1">
      <alignment horizontal="center" vertical="center" wrapText="1"/>
    </xf>
    <xf numFmtId="0" fontId="46" fillId="51" borderId="119" xfId="0" applyFont="1" applyFill="1" applyBorder="1" applyAlignment="1">
      <alignment horizontal="center" vertical="center" wrapText="1"/>
    </xf>
    <xf numFmtId="0" fontId="29" fillId="0" borderId="38" xfId="0" applyFont="1" applyBorder="1" applyAlignment="1">
      <alignment horizontal="center" vertical="center" wrapText="1"/>
    </xf>
    <xf numFmtId="0" fontId="46" fillId="49" borderId="61" xfId="0" applyFont="1" applyFill="1" applyBorder="1" applyAlignment="1">
      <alignment horizontal="center" vertical="center" textRotation="90" wrapText="1"/>
    </xf>
    <xf numFmtId="0" fontId="29" fillId="8" borderId="0" xfId="0" applyFont="1" applyFill="1" applyAlignment="1">
      <alignment horizontal="left" vertical="center" wrapText="1"/>
    </xf>
    <xf numFmtId="0" fontId="29" fillId="8" borderId="78" xfId="0" applyFont="1" applyFill="1" applyBorder="1" applyAlignment="1">
      <alignment horizontal="left" vertical="center" wrapText="1"/>
    </xf>
    <xf numFmtId="0" fontId="29" fillId="8" borderId="20" xfId="0" applyFont="1" applyFill="1" applyBorder="1" applyAlignment="1">
      <alignment horizontal="left" vertical="center" wrapText="1"/>
    </xf>
    <xf numFmtId="0" fontId="29" fillId="8" borderId="21" xfId="0" applyFont="1" applyFill="1" applyBorder="1" applyAlignment="1">
      <alignment horizontal="left" vertical="center" wrapText="1"/>
    </xf>
    <xf numFmtId="0" fontId="29" fillId="8" borderId="118" xfId="0" applyFont="1" applyFill="1" applyBorder="1" applyAlignment="1">
      <alignment horizontal="left" vertical="center" wrapText="1"/>
    </xf>
    <xf numFmtId="9" fontId="46" fillId="34" borderId="117" xfId="0" applyNumberFormat="1" applyFont="1" applyFill="1" applyBorder="1" applyAlignment="1">
      <alignment horizontal="center" vertical="center"/>
    </xf>
    <xf numFmtId="0" fontId="29" fillId="0" borderId="121" xfId="0" applyFont="1" applyBorder="1" applyAlignment="1">
      <alignment horizontal="center" vertical="center"/>
    </xf>
    <xf numFmtId="9" fontId="29" fillId="0" borderId="18" xfId="0" applyNumberFormat="1" applyFont="1" applyBorder="1" applyAlignment="1">
      <alignment horizontal="center" vertical="center"/>
    </xf>
    <xf numFmtId="9" fontId="29" fillId="0" borderId="122" xfId="0" applyNumberFormat="1" applyFont="1" applyBorder="1" applyAlignment="1">
      <alignment horizontal="center" vertical="center"/>
    </xf>
    <xf numFmtId="9" fontId="29" fillId="0" borderId="22" xfId="0" applyNumberFormat="1" applyFont="1" applyBorder="1" applyAlignment="1">
      <alignment horizontal="center" vertical="center"/>
    </xf>
    <xf numFmtId="0" fontId="29" fillId="0" borderId="123" xfId="0" applyFont="1" applyBorder="1" applyAlignment="1">
      <alignment horizontal="left" vertical="center" wrapText="1"/>
    </xf>
    <xf numFmtId="0" fontId="29" fillId="0" borderId="0" xfId="0" applyFont="1" applyAlignment="1">
      <alignment horizontal="left" vertical="center" wrapText="1"/>
    </xf>
    <xf numFmtId="0" fontId="29" fillId="0" borderId="78" xfId="0" applyFont="1" applyBorder="1" applyAlignment="1">
      <alignment horizontal="left" vertical="center" wrapText="1"/>
    </xf>
    <xf numFmtId="0" fontId="29" fillId="0" borderId="20" xfId="0" applyFont="1" applyBorder="1" applyAlignment="1">
      <alignment horizontal="left" vertical="center" wrapText="1"/>
    </xf>
    <xf numFmtId="0" fontId="29" fillId="0" borderId="21" xfId="0" applyFont="1" applyBorder="1" applyAlignment="1">
      <alignment horizontal="left" vertical="center" wrapText="1"/>
    </xf>
    <xf numFmtId="0" fontId="29" fillId="0" borderId="118" xfId="0" applyFont="1" applyBorder="1" applyAlignment="1">
      <alignment horizontal="left" vertical="center" wrapText="1"/>
    </xf>
    <xf numFmtId="0" fontId="29" fillId="0" borderId="118" xfId="0" applyFont="1" applyBorder="1" applyAlignment="1">
      <alignment horizontal="center" vertical="center" wrapText="1"/>
    </xf>
    <xf numFmtId="0" fontId="46" fillId="11" borderId="57" xfId="0" applyFont="1" applyFill="1" applyBorder="1" applyAlignment="1">
      <alignment horizontal="center" vertical="center" wrapText="1"/>
    </xf>
    <xf numFmtId="0" fontId="46" fillId="11" borderId="119" xfId="0" applyFont="1" applyFill="1" applyBorder="1" applyAlignment="1">
      <alignment horizontal="center" vertical="center" wrapText="1"/>
    </xf>
    <xf numFmtId="0" fontId="0" fillId="0" borderId="16" xfId="0" applyBorder="1" applyAlignment="1">
      <alignment horizontal="left" vertical="center" wrapText="1"/>
    </xf>
    <xf numFmtId="0" fontId="29" fillId="0" borderId="17" xfId="0" applyFont="1" applyBorder="1" applyAlignment="1">
      <alignment horizontal="left" vertical="center" wrapText="1"/>
    </xf>
    <xf numFmtId="0" fontId="29" fillId="0" borderId="113" xfId="0" applyFont="1" applyBorder="1" applyAlignment="1">
      <alignment horizontal="left" vertical="center" wrapText="1"/>
    </xf>
    <xf numFmtId="0" fontId="0" fillId="34" borderId="125" xfId="0" applyFill="1" applyBorder="1" applyAlignment="1">
      <alignment horizontal="center" vertical="center" wrapText="1"/>
    </xf>
    <xf numFmtId="0" fontId="46" fillId="11" borderId="126" xfId="0" applyFont="1" applyFill="1" applyBorder="1" applyAlignment="1">
      <alignment horizontal="center" vertical="center" wrapText="1"/>
    </xf>
    <xf numFmtId="0" fontId="46" fillId="11" borderId="128" xfId="0" applyFont="1" applyFill="1" applyBorder="1" applyAlignment="1">
      <alignment horizontal="center" vertical="center" wrapText="1"/>
    </xf>
    <xf numFmtId="0" fontId="46" fillId="51" borderId="129" xfId="0" applyFont="1" applyFill="1" applyBorder="1" applyAlignment="1">
      <alignment horizontal="center" vertical="center" wrapText="1"/>
    </xf>
    <xf numFmtId="0" fontId="46" fillId="51" borderId="128" xfId="0" applyFont="1" applyFill="1" applyBorder="1" applyAlignment="1">
      <alignment horizontal="center" vertical="center" wrapText="1"/>
    </xf>
    <xf numFmtId="0" fontId="56" fillId="46" borderId="109" xfId="0" applyFont="1" applyFill="1" applyBorder="1" applyAlignment="1">
      <alignment horizontal="center" vertical="center" textRotation="255"/>
    </xf>
    <xf numFmtId="0" fontId="56" fillId="48" borderId="109" xfId="0" applyFont="1" applyFill="1" applyBorder="1" applyAlignment="1">
      <alignment horizontal="center" vertical="center" textRotation="90" wrapText="1"/>
    </xf>
    <xf numFmtId="0" fontId="46" fillId="49" borderId="58" xfId="0" applyFont="1" applyFill="1" applyBorder="1" applyAlignment="1">
      <alignment horizontal="center" vertical="center" textRotation="90" wrapText="1"/>
    </xf>
    <xf numFmtId="0" fontId="46" fillId="49" borderId="60" xfId="0" applyFont="1" applyFill="1" applyBorder="1" applyAlignment="1">
      <alignment horizontal="center" vertical="center" textRotation="90" wrapText="1"/>
    </xf>
    <xf numFmtId="0" fontId="29" fillId="0" borderId="113" xfId="0" applyFont="1" applyBorder="1" applyAlignment="1">
      <alignment horizontal="center" vertical="center" wrapText="1"/>
    </xf>
    <xf numFmtId="0" fontId="46" fillId="11" borderId="114" xfId="0" applyFont="1" applyFill="1" applyBorder="1" applyAlignment="1">
      <alignment horizontal="center" vertical="center" wrapText="1"/>
    </xf>
    <xf numFmtId="0" fontId="0" fillId="0" borderId="17" xfId="0" applyBorder="1" applyAlignment="1">
      <alignment horizontal="left" vertical="center" wrapText="1"/>
    </xf>
    <xf numFmtId="0" fontId="0" fillId="0" borderId="113" xfId="0" applyBorder="1"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118" xfId="0" applyBorder="1" applyAlignment="1">
      <alignment horizontal="left" vertical="center" wrapText="1"/>
    </xf>
    <xf numFmtId="0" fontId="46" fillId="49" borderId="81" xfId="0" applyFont="1" applyFill="1" applyBorder="1" applyAlignment="1">
      <alignment horizontal="center" vertical="center" textRotation="90" wrapText="1"/>
    </xf>
    <xf numFmtId="0" fontId="46" fillId="34" borderId="127" xfId="0" applyFont="1" applyFill="1" applyBorder="1" applyAlignment="1">
      <alignment horizontal="center" vertical="center" wrapText="1"/>
    </xf>
    <xf numFmtId="0" fontId="61" fillId="46" borderId="61" xfId="0" applyFont="1" applyFill="1" applyBorder="1" applyAlignment="1">
      <alignment horizontal="center" vertical="center" wrapText="1"/>
    </xf>
    <xf numFmtId="0" fontId="62" fillId="0" borderId="62" xfId="0" applyFont="1" applyBorder="1" applyAlignment="1">
      <alignment horizontal="center" vertical="center"/>
    </xf>
    <xf numFmtId="0" fontId="62" fillId="0" borderId="82" xfId="0" applyFont="1" applyBorder="1" applyAlignment="1">
      <alignment horizontal="center" vertical="center"/>
    </xf>
    <xf numFmtId="0" fontId="53" fillId="19" borderId="108" xfId="0" applyFont="1" applyFill="1" applyBorder="1" applyAlignment="1">
      <alignment horizontal="center" vertical="center" textRotation="90"/>
    </xf>
    <xf numFmtId="0" fontId="29" fillId="0" borderId="110" xfId="0" applyFont="1" applyBorder="1" applyAlignment="1">
      <alignment horizontal="center" vertical="center"/>
    </xf>
    <xf numFmtId="0" fontId="53" fillId="19" borderId="108" xfId="0" applyFont="1" applyFill="1" applyBorder="1" applyAlignment="1">
      <alignment horizontal="center" vertical="center" textRotation="90" wrapText="1"/>
    </xf>
    <xf numFmtId="0" fontId="53" fillId="19" borderId="58" xfId="0" applyFont="1" applyFill="1" applyBorder="1" applyAlignment="1">
      <alignment horizontal="left" vertical="center" wrapText="1"/>
    </xf>
    <xf numFmtId="0" fontId="53" fillId="19" borderId="59" xfId="0" applyFont="1" applyFill="1" applyBorder="1" applyAlignment="1">
      <alignment horizontal="left" vertical="center" wrapText="1"/>
    </xf>
    <xf numFmtId="0" fontId="53" fillId="19" borderId="60" xfId="0" applyFont="1" applyFill="1" applyBorder="1" applyAlignment="1">
      <alignment horizontal="left" vertical="center" wrapText="1"/>
    </xf>
    <xf numFmtId="0" fontId="53" fillId="19" borderId="0" xfId="0" applyFont="1" applyFill="1" applyAlignment="1">
      <alignment horizontal="left" vertical="center" wrapText="1"/>
    </xf>
    <xf numFmtId="0" fontId="53" fillId="19" borderId="108" xfId="0" applyFont="1" applyFill="1" applyBorder="1" applyAlignment="1">
      <alignment horizontal="center" vertical="center" wrapText="1"/>
    </xf>
    <xf numFmtId="0" fontId="29" fillId="0" borderId="111" xfId="0" applyFont="1" applyBorder="1" applyAlignment="1">
      <alignment horizontal="center" vertical="center"/>
    </xf>
    <xf numFmtId="0" fontId="53" fillId="19" borderId="111" xfId="0" applyFont="1" applyFill="1" applyBorder="1" applyAlignment="1">
      <alignment horizontal="center" vertical="center" wrapText="1"/>
    </xf>
    <xf numFmtId="0" fontId="53" fillId="19" borderId="108" xfId="0" applyFont="1" applyFill="1" applyBorder="1" applyAlignment="1">
      <alignment horizontal="center" vertical="center"/>
    </xf>
    <xf numFmtId="0" fontId="53" fillId="19" borderId="112" xfId="0" applyFont="1" applyFill="1" applyBorder="1" applyAlignment="1">
      <alignment horizontal="center" vertical="center"/>
    </xf>
    <xf numFmtId="0" fontId="53" fillId="19" borderId="61" xfId="0" applyFont="1" applyFill="1" applyBorder="1" applyAlignment="1">
      <alignment horizontal="center" vertical="center"/>
    </xf>
    <xf numFmtId="0" fontId="29" fillId="0" borderId="62" xfId="0" applyFont="1" applyBorder="1" applyAlignment="1">
      <alignment horizontal="center" vertical="center"/>
    </xf>
    <xf numFmtId="0" fontId="29" fillId="0" borderId="82" xfId="0" applyFont="1" applyBorder="1" applyAlignment="1">
      <alignment horizontal="center" vertical="center"/>
    </xf>
    <xf numFmtId="0" fontId="19" fillId="0" borderId="31" xfId="0" applyFont="1" applyBorder="1" applyAlignment="1">
      <alignment horizontal="center" vertical="center" wrapText="1"/>
    </xf>
    <xf numFmtId="0" fontId="19" fillId="0" borderId="0" xfId="0" applyFont="1" applyAlignment="1">
      <alignment horizontal="center" vertical="center" wrapText="1"/>
    </xf>
    <xf numFmtId="0" fontId="19" fillId="0" borderId="12" xfId="0" applyFont="1" applyBorder="1" applyAlignment="1">
      <alignment horizontal="center" vertical="center" wrapText="1"/>
    </xf>
    <xf numFmtId="0" fontId="0" fillId="0" borderId="9" xfId="0" applyBorder="1" applyAlignment="1">
      <alignment horizontal="center" vertical="center"/>
    </xf>
    <xf numFmtId="0" fontId="0" fillId="0" borderId="35" xfId="0" applyBorder="1" applyAlignment="1">
      <alignment horizontal="center" vertical="center"/>
    </xf>
    <xf numFmtId="0" fontId="0" fillId="0" borderId="33" xfId="0" applyBorder="1" applyAlignment="1">
      <alignment horizontal="center" vertical="center" wrapText="1"/>
    </xf>
    <xf numFmtId="0" fontId="0" fillId="0" borderId="36" xfId="0" applyBorder="1" applyAlignment="1">
      <alignment horizontal="center" vertical="center" wrapText="1"/>
    </xf>
    <xf numFmtId="0" fontId="0" fillId="0" borderId="29" xfId="0" applyBorder="1" applyAlignment="1">
      <alignment horizontal="center" vertical="center" wrapText="1"/>
    </xf>
    <xf numFmtId="0" fontId="0" fillId="0" borderId="19" xfId="0" applyBorder="1" applyAlignment="1">
      <alignment horizontal="center" vertical="center" wrapText="1"/>
    </xf>
    <xf numFmtId="0" fontId="0" fillId="10" borderId="9" xfId="0" applyFill="1" applyBorder="1" applyAlignment="1">
      <alignment horizontal="center" vertical="center"/>
    </xf>
    <xf numFmtId="0" fontId="0" fillId="10" borderId="35" xfId="0" applyFill="1" applyBorder="1" applyAlignment="1">
      <alignment horizontal="center" vertical="center"/>
    </xf>
    <xf numFmtId="0" fontId="0" fillId="0" borderId="15" xfId="0" applyBorder="1" applyAlignment="1">
      <alignment horizontal="center"/>
    </xf>
    <xf numFmtId="0" fontId="0" fillId="0" borderId="19" xfId="0" applyBorder="1" applyAlignment="1">
      <alignment horizont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10" borderId="28" xfId="0" applyFill="1" applyBorder="1" applyAlignment="1">
      <alignment horizontal="center" vertical="center" wrapText="1"/>
    </xf>
    <xf numFmtId="0" fontId="0" fillId="0" borderId="15" xfId="0" applyBorder="1" applyAlignment="1">
      <alignment horizontal="center" vertical="center" wrapText="1"/>
    </xf>
  </cellXfs>
  <cellStyles count="25">
    <cellStyle name="Millares" xfId="1" builtinId="3"/>
    <cellStyle name="Millares 2" xfId="6" xr:uid="{00000000-0005-0000-0000-000001000000}"/>
    <cellStyle name="Millares 2 2" xfId="11" xr:uid="{F2C2FE83-AD22-486D-9CB8-C4DB9A252A8C}"/>
    <cellStyle name="Millares 2 2 2" xfId="22" xr:uid="{2C74B66B-1DC3-4F58-93D1-0651F63A3850}"/>
    <cellStyle name="Millares 2 3" xfId="17" xr:uid="{D906054E-2A9B-46E4-84CA-93E81DB03439}"/>
    <cellStyle name="Millares 3" xfId="9" xr:uid="{28EDA571-9816-498C-B24C-D593959EF60A}"/>
    <cellStyle name="Millares 3 2" xfId="20" xr:uid="{C4473CEF-0D83-4F30-844D-E6D93419018A}"/>
    <cellStyle name="Millares 4" xfId="15" xr:uid="{55265F05-D045-4B6F-80E9-0162D6E12AFC}"/>
    <cellStyle name="Moneda" xfId="14" builtinId="4"/>
    <cellStyle name="Moneda [0] 2" xfId="5" xr:uid="{00000000-0005-0000-0000-000002000000}"/>
    <cellStyle name="Moneda [0] 2 2" xfId="8" xr:uid="{00000000-0005-0000-0000-000003000000}"/>
    <cellStyle name="Moneda [0] 2 2 2" xfId="13" xr:uid="{E1BB9C64-E14F-4A19-A21E-E8AC06262BDE}"/>
    <cellStyle name="Moneda [0] 2 2 2 2" xfId="24" xr:uid="{912DE27A-3A91-47DB-A9C8-661F938C77DA}"/>
    <cellStyle name="Moneda [0] 2 2 3" xfId="19" xr:uid="{4FC01A70-3A92-4207-9598-C29DA388BF22}"/>
    <cellStyle name="Moneda [0] 2 3" xfId="10" xr:uid="{915567ED-8686-4184-9CDC-0B33526F95AA}"/>
    <cellStyle name="Moneda [0] 2 3 2" xfId="21" xr:uid="{3EC7C210-65B7-49F4-A2AC-1C023E9B7507}"/>
    <cellStyle name="Moneda [0] 2 4" xfId="16" xr:uid="{8265C3D1-4ADA-413A-933E-B7D4D79C9A3A}"/>
    <cellStyle name="Moneda 2" xfId="7" xr:uid="{00000000-0005-0000-0000-000004000000}"/>
    <cellStyle name="Moneda 2 2" xfId="12" xr:uid="{D196B793-E670-4229-9B64-5775A8B572A9}"/>
    <cellStyle name="Moneda 2 2 2" xfId="23" xr:uid="{61B7C7F1-E57D-4A47-BDF3-A56A31AA3A71}"/>
    <cellStyle name="Moneda 2 3" xfId="18" xr:uid="{2F663275-5A92-4CDC-AD4D-60F356F87EB7}"/>
    <cellStyle name="Normal" xfId="0" builtinId="0"/>
    <cellStyle name="Normal 2" xfId="4" xr:uid="{00000000-0005-0000-0000-000006000000}"/>
    <cellStyle name="Normal 3" xfId="3" xr:uid="{00000000-0005-0000-0000-000007000000}"/>
    <cellStyle name="Porcentaje" xfId="2" builtinId="5"/>
  </cellStyles>
  <dxfs count="37">
    <dxf>
      <fill>
        <patternFill>
          <bgColor rgb="FF0070C0"/>
        </patternFill>
      </fill>
    </dxf>
    <dxf>
      <fill>
        <patternFill>
          <bgColor rgb="FF00B050"/>
        </patternFill>
      </fill>
    </dxf>
    <dxf>
      <font>
        <color theme="1"/>
      </font>
      <fill>
        <patternFill patternType="solid">
          <bgColor rgb="FFFFFF00"/>
        </patternFill>
      </fill>
    </dxf>
    <dxf>
      <font>
        <color rgb="FF9C0006"/>
      </font>
      <fill>
        <patternFill patternType="solid">
          <bgColor rgb="FFFFFF00"/>
        </patternFill>
      </fill>
    </dxf>
    <dxf>
      <font>
        <color rgb="FF9C0006"/>
      </font>
      <fill>
        <patternFill patternType="solid">
          <bgColor rgb="FF00B050"/>
        </patternFill>
      </fill>
    </dxf>
    <dxf>
      <fill>
        <patternFill patternType="solid">
          <fgColor rgb="FF00B050"/>
          <bgColor rgb="FF00B050"/>
        </patternFill>
      </fill>
    </dxf>
    <dxf>
      <fill>
        <patternFill patternType="solid">
          <fgColor rgb="FFFFFF00"/>
          <bgColor rgb="FFFFFF00"/>
        </patternFill>
      </fill>
    </dxf>
    <dxf>
      <fill>
        <patternFill patternType="solid">
          <fgColor rgb="FFFF9900"/>
          <bgColor rgb="FFFF9900"/>
        </patternFill>
      </fill>
    </dxf>
    <dxf>
      <fill>
        <patternFill patternType="solid">
          <fgColor rgb="FF00B050"/>
          <bgColor rgb="FF00B050"/>
        </patternFill>
      </fill>
    </dxf>
    <dxf>
      <fill>
        <patternFill patternType="solid">
          <fgColor rgb="FFFFFF00"/>
          <bgColor rgb="FFFFFF00"/>
        </patternFill>
      </fill>
    </dxf>
    <dxf>
      <fill>
        <patternFill patternType="solid">
          <fgColor rgb="FFFF9900"/>
          <bgColor rgb="FFFF9900"/>
        </patternFill>
      </fill>
    </dxf>
    <dxf>
      <fill>
        <patternFill patternType="solid">
          <fgColor rgb="FF00B050"/>
          <bgColor rgb="FF00B050"/>
        </patternFill>
      </fill>
    </dxf>
    <dxf>
      <fill>
        <patternFill patternType="solid">
          <fgColor rgb="FFFFFF00"/>
          <bgColor rgb="FFFFFF00"/>
        </patternFill>
      </fill>
    </dxf>
    <dxf>
      <fill>
        <patternFill patternType="solid">
          <fgColor rgb="FFFF9900"/>
          <bgColor rgb="FFFF9900"/>
        </patternFill>
      </fill>
    </dxf>
    <dxf>
      <fill>
        <patternFill patternType="solid">
          <fgColor rgb="FF00B050"/>
          <bgColor rgb="FF00B050"/>
        </patternFill>
      </fill>
    </dxf>
    <dxf>
      <fill>
        <patternFill patternType="solid">
          <fgColor rgb="FFFFFF00"/>
          <bgColor rgb="FFFFFF00"/>
        </patternFill>
      </fill>
    </dxf>
    <dxf>
      <fill>
        <patternFill patternType="solid">
          <fgColor rgb="FFFF9900"/>
          <bgColor rgb="FFFF9900"/>
        </patternFill>
      </fill>
    </dxf>
    <dxf>
      <fill>
        <patternFill patternType="solid">
          <fgColor rgb="FF00B050"/>
          <bgColor rgb="FF00B050"/>
        </patternFill>
      </fill>
    </dxf>
    <dxf>
      <fill>
        <patternFill patternType="solid">
          <fgColor rgb="FFFFFF00"/>
          <bgColor rgb="FFFFFF00"/>
        </patternFill>
      </fill>
    </dxf>
    <dxf>
      <fill>
        <patternFill patternType="solid">
          <fgColor rgb="FFFF9900"/>
          <bgColor rgb="FFFF9900"/>
        </patternFill>
      </fill>
    </dxf>
    <dxf>
      <fill>
        <patternFill patternType="solid">
          <fgColor rgb="FF00B050"/>
          <bgColor rgb="FF00B050"/>
        </patternFill>
      </fill>
    </dxf>
    <dxf>
      <fill>
        <patternFill patternType="solid">
          <fgColor rgb="FFFFFF00"/>
          <bgColor rgb="FFFFFF00"/>
        </patternFill>
      </fill>
    </dxf>
    <dxf>
      <fill>
        <patternFill patternType="solid">
          <fgColor rgb="FFFF9900"/>
          <bgColor rgb="FFFF9900"/>
        </patternFill>
      </fill>
    </dxf>
    <dxf>
      <fill>
        <patternFill patternType="solid">
          <fgColor rgb="FF00B050"/>
          <bgColor rgb="FF00B050"/>
        </patternFill>
      </fill>
    </dxf>
    <dxf>
      <fill>
        <patternFill patternType="solid">
          <fgColor rgb="FFFFFF00"/>
          <bgColor rgb="FFFFFF00"/>
        </patternFill>
      </fill>
    </dxf>
    <dxf>
      <fill>
        <patternFill patternType="solid">
          <fgColor rgb="FFFF9900"/>
          <bgColor rgb="FFFF9900"/>
        </patternFill>
      </fill>
    </dxf>
    <dxf>
      <font>
        <color rgb="FF9C5700"/>
      </font>
      <fill>
        <patternFill>
          <bgColor rgb="FFFFEB9C"/>
        </patternFill>
      </fill>
    </dxf>
    <dxf>
      <font>
        <color rgb="FF9C5700"/>
      </font>
      <fill>
        <patternFill>
          <bgColor rgb="FFFFEB9C"/>
        </patternFill>
      </fill>
    </dxf>
    <dxf>
      <fill>
        <patternFill patternType="solid">
          <fgColor rgb="FFFF9900"/>
          <bgColor rgb="FFFF9900"/>
        </patternFill>
      </fill>
    </dxf>
    <dxf>
      <fill>
        <patternFill patternType="solid">
          <fgColor rgb="FFFFFF00"/>
          <bgColor rgb="FFFFFF00"/>
        </patternFill>
      </fill>
    </dxf>
    <dxf>
      <fill>
        <patternFill patternType="solid">
          <fgColor rgb="FF00B050"/>
          <bgColor rgb="FF00B050"/>
        </patternFill>
      </fill>
    </dxf>
    <dxf>
      <fill>
        <patternFill patternType="solid">
          <fgColor rgb="FFFF9900"/>
          <bgColor rgb="FFFF9900"/>
        </patternFill>
      </fill>
    </dxf>
    <dxf>
      <fill>
        <patternFill patternType="solid">
          <fgColor rgb="FFFFFF00"/>
          <bgColor rgb="FFFFFF00"/>
        </patternFill>
      </fill>
    </dxf>
    <dxf>
      <fill>
        <patternFill patternType="solid">
          <fgColor rgb="FF00B050"/>
          <bgColor rgb="FF00B050"/>
        </patternFill>
      </fill>
    </dxf>
    <dxf>
      <fill>
        <patternFill patternType="solid">
          <fgColor rgb="FFFF9900"/>
          <bgColor rgb="FFFF9900"/>
        </patternFill>
      </fill>
    </dxf>
    <dxf>
      <fill>
        <patternFill patternType="solid">
          <fgColor rgb="FFFFFF00"/>
          <bgColor rgb="FFFFFF0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s-CO"/>
              <a:t>Cumplimiento de Actividades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xMode val="edge"/>
          <c:yMode val="edge"/>
          <c:x val="7.0876636352265349E-2"/>
          <c:y val="0.15326988093085442"/>
          <c:w val="0.91444749181633189"/>
          <c:h val="0.68179617422561223"/>
        </c:manualLayout>
      </c:layout>
      <c:bar3DChart>
        <c:barDir val="col"/>
        <c:grouping val="clustered"/>
        <c:varyColors val="1"/>
        <c:ser>
          <c:idx val="0"/>
          <c:order val="0"/>
          <c:invertIfNegative val="0"/>
          <c:dPt>
            <c:idx val="0"/>
            <c:invertIfNegative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1-C94A-4FC7-A143-CC7D78C61EA7}"/>
              </c:ext>
            </c:extLst>
          </c:dPt>
          <c:dPt>
            <c:idx val="1"/>
            <c:invertIfNegative val="0"/>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3-C94A-4FC7-A143-CC7D78C61EA7}"/>
              </c:ext>
            </c:extLst>
          </c:dPt>
          <c:dPt>
            <c:idx val="2"/>
            <c:invertIfNegative val="0"/>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5-C94A-4FC7-A143-CC7D78C61EA7}"/>
              </c:ext>
            </c:extLst>
          </c:dPt>
          <c:dPt>
            <c:idx val="3"/>
            <c:invertIfNegative val="0"/>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7-C94A-4FC7-A143-CC7D78C61EA7}"/>
              </c:ext>
            </c:extLst>
          </c:dPt>
          <c:dPt>
            <c:idx val="4"/>
            <c:invertIfNegative val="0"/>
            <c:bubble3D val="0"/>
            <c:spPr>
              <a:gradFill rotWithShape="1">
                <a:gsLst>
                  <a:gs pos="0">
                    <a:schemeClr val="accent5">
                      <a:satMod val="103000"/>
                      <a:lumMod val="102000"/>
                      <a:tint val="94000"/>
                    </a:schemeClr>
                  </a:gs>
                  <a:gs pos="50000">
                    <a:schemeClr val="accent5">
                      <a:satMod val="110000"/>
                      <a:lumMod val="100000"/>
                      <a:shade val="100000"/>
                    </a:schemeClr>
                  </a:gs>
                  <a:gs pos="100000">
                    <a:schemeClr val="accent5">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9-C94A-4FC7-A143-CC7D78C61EA7}"/>
              </c:ext>
            </c:extLst>
          </c:dPt>
          <c:dPt>
            <c:idx val="5"/>
            <c:invertIfNegative val="0"/>
            <c:bubble3D val="0"/>
            <c:spPr>
              <a:gradFill rotWithShape="1">
                <a:gsLst>
                  <a:gs pos="0">
                    <a:schemeClr val="accent6">
                      <a:satMod val="103000"/>
                      <a:lumMod val="102000"/>
                      <a:tint val="94000"/>
                    </a:schemeClr>
                  </a:gs>
                  <a:gs pos="50000">
                    <a:schemeClr val="accent6">
                      <a:satMod val="110000"/>
                      <a:lumMod val="100000"/>
                      <a:shade val="100000"/>
                    </a:schemeClr>
                  </a:gs>
                  <a:gs pos="100000">
                    <a:schemeClr val="accent6">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B-C94A-4FC7-A143-CC7D78C61EA7}"/>
              </c:ext>
            </c:extLst>
          </c:dPt>
          <c:dPt>
            <c:idx val="6"/>
            <c:invertIfNegative val="0"/>
            <c:bubble3D val="0"/>
            <c:spPr>
              <a:gradFill rotWithShape="1">
                <a:gsLst>
                  <a:gs pos="0">
                    <a:schemeClr val="accent1">
                      <a:lumMod val="60000"/>
                      <a:satMod val="103000"/>
                      <a:lumMod val="102000"/>
                      <a:tint val="94000"/>
                    </a:schemeClr>
                  </a:gs>
                  <a:gs pos="50000">
                    <a:schemeClr val="accent1">
                      <a:lumMod val="60000"/>
                      <a:satMod val="110000"/>
                      <a:lumMod val="100000"/>
                      <a:shade val="100000"/>
                    </a:schemeClr>
                  </a:gs>
                  <a:gs pos="100000">
                    <a:schemeClr val="accent1">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D-C94A-4FC7-A143-CC7D78C61EA7}"/>
              </c:ext>
            </c:extLst>
          </c:dPt>
          <c:dPt>
            <c:idx val="7"/>
            <c:invertIfNegative val="0"/>
            <c:bubble3D val="0"/>
            <c:spPr>
              <a:gradFill rotWithShape="1">
                <a:gsLst>
                  <a:gs pos="0">
                    <a:schemeClr val="accent2">
                      <a:lumMod val="60000"/>
                      <a:satMod val="103000"/>
                      <a:lumMod val="102000"/>
                      <a:tint val="94000"/>
                    </a:schemeClr>
                  </a:gs>
                  <a:gs pos="50000">
                    <a:schemeClr val="accent2">
                      <a:lumMod val="60000"/>
                      <a:satMod val="110000"/>
                      <a:lumMod val="100000"/>
                      <a:shade val="100000"/>
                    </a:schemeClr>
                  </a:gs>
                  <a:gs pos="100000">
                    <a:schemeClr val="accent2">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0F-C94A-4FC7-A143-CC7D78C61EA7}"/>
              </c:ext>
            </c:extLst>
          </c:dPt>
          <c:dPt>
            <c:idx val="8"/>
            <c:invertIfNegative val="0"/>
            <c:bubble3D val="0"/>
            <c:spPr>
              <a:gradFill rotWithShape="1">
                <a:gsLst>
                  <a:gs pos="0">
                    <a:schemeClr val="accent3">
                      <a:lumMod val="60000"/>
                      <a:satMod val="103000"/>
                      <a:lumMod val="102000"/>
                      <a:tint val="94000"/>
                    </a:schemeClr>
                  </a:gs>
                  <a:gs pos="50000">
                    <a:schemeClr val="accent3">
                      <a:lumMod val="60000"/>
                      <a:satMod val="110000"/>
                      <a:lumMod val="100000"/>
                      <a:shade val="100000"/>
                    </a:schemeClr>
                  </a:gs>
                  <a:gs pos="100000">
                    <a:schemeClr val="accent3">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11-C94A-4FC7-A143-CC7D78C61EA7}"/>
              </c:ext>
            </c:extLst>
          </c:dPt>
          <c:dPt>
            <c:idx val="9"/>
            <c:invertIfNegative val="0"/>
            <c:bubble3D val="0"/>
            <c:spPr>
              <a:gradFill rotWithShape="1">
                <a:gsLst>
                  <a:gs pos="0">
                    <a:schemeClr val="accent4">
                      <a:lumMod val="60000"/>
                      <a:satMod val="103000"/>
                      <a:lumMod val="102000"/>
                      <a:tint val="94000"/>
                    </a:schemeClr>
                  </a:gs>
                  <a:gs pos="50000">
                    <a:schemeClr val="accent4">
                      <a:lumMod val="60000"/>
                      <a:satMod val="110000"/>
                      <a:lumMod val="100000"/>
                      <a:shade val="100000"/>
                    </a:schemeClr>
                  </a:gs>
                  <a:gs pos="100000">
                    <a:schemeClr val="accent4">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13-C94A-4FC7-A143-CC7D78C61EA7}"/>
              </c:ext>
            </c:extLst>
          </c:dPt>
          <c:dPt>
            <c:idx val="10"/>
            <c:invertIfNegative val="0"/>
            <c:bubble3D val="0"/>
            <c:spPr>
              <a:gradFill rotWithShape="1">
                <a:gsLst>
                  <a:gs pos="0">
                    <a:schemeClr val="accent5">
                      <a:lumMod val="60000"/>
                      <a:satMod val="103000"/>
                      <a:lumMod val="102000"/>
                      <a:tint val="94000"/>
                    </a:schemeClr>
                  </a:gs>
                  <a:gs pos="50000">
                    <a:schemeClr val="accent5">
                      <a:lumMod val="60000"/>
                      <a:satMod val="110000"/>
                      <a:lumMod val="100000"/>
                      <a:shade val="100000"/>
                    </a:schemeClr>
                  </a:gs>
                  <a:gs pos="100000">
                    <a:schemeClr val="accent5">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15-C94A-4FC7-A143-CC7D78C61EA7}"/>
              </c:ext>
            </c:extLst>
          </c:dPt>
          <c:dPt>
            <c:idx val="11"/>
            <c:invertIfNegative val="0"/>
            <c:bubble3D val="0"/>
            <c:spPr>
              <a:gradFill rotWithShape="1">
                <a:gsLst>
                  <a:gs pos="0">
                    <a:schemeClr val="accent6">
                      <a:lumMod val="60000"/>
                      <a:satMod val="103000"/>
                      <a:lumMod val="102000"/>
                      <a:tint val="94000"/>
                    </a:schemeClr>
                  </a:gs>
                  <a:gs pos="50000">
                    <a:schemeClr val="accent6">
                      <a:lumMod val="60000"/>
                      <a:satMod val="110000"/>
                      <a:lumMod val="100000"/>
                      <a:shade val="100000"/>
                    </a:schemeClr>
                  </a:gs>
                  <a:gs pos="100000">
                    <a:schemeClr val="accent6">
                      <a:lumMod val="60000"/>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17-C94A-4FC7-A143-CC7D78C61EA7}"/>
              </c:ext>
            </c:extLst>
          </c:dPt>
          <c:dPt>
            <c:idx val="12"/>
            <c:invertIfNegative val="0"/>
            <c:bubble3D val="0"/>
            <c:spPr>
              <a:gradFill rotWithShape="1">
                <a:gsLst>
                  <a:gs pos="0">
                    <a:schemeClr val="accent1">
                      <a:lumMod val="80000"/>
                      <a:lumOff val="20000"/>
                      <a:satMod val="103000"/>
                      <a:lumMod val="102000"/>
                      <a:tint val="94000"/>
                    </a:schemeClr>
                  </a:gs>
                  <a:gs pos="50000">
                    <a:schemeClr val="accent1">
                      <a:lumMod val="80000"/>
                      <a:lumOff val="20000"/>
                      <a:satMod val="110000"/>
                      <a:lumMod val="100000"/>
                      <a:shade val="100000"/>
                    </a:schemeClr>
                  </a:gs>
                  <a:gs pos="100000">
                    <a:schemeClr val="accent1">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19-C94A-4FC7-A143-CC7D78C61EA7}"/>
              </c:ext>
            </c:extLst>
          </c:dPt>
          <c:dPt>
            <c:idx val="13"/>
            <c:invertIfNegative val="0"/>
            <c:bubble3D val="0"/>
            <c:spPr>
              <a:gradFill rotWithShape="1">
                <a:gsLst>
                  <a:gs pos="0">
                    <a:schemeClr val="accent2">
                      <a:lumMod val="80000"/>
                      <a:lumOff val="20000"/>
                      <a:satMod val="103000"/>
                      <a:lumMod val="102000"/>
                      <a:tint val="94000"/>
                    </a:schemeClr>
                  </a:gs>
                  <a:gs pos="50000">
                    <a:schemeClr val="accent2">
                      <a:lumMod val="80000"/>
                      <a:lumOff val="20000"/>
                      <a:satMod val="110000"/>
                      <a:lumMod val="100000"/>
                      <a:shade val="100000"/>
                    </a:schemeClr>
                  </a:gs>
                  <a:gs pos="100000">
                    <a:schemeClr val="accent2">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1B-C94A-4FC7-A143-CC7D78C61EA7}"/>
              </c:ext>
            </c:extLst>
          </c:dPt>
          <c:dPt>
            <c:idx val="14"/>
            <c:invertIfNegative val="0"/>
            <c:bubble3D val="0"/>
            <c:spPr>
              <a:gradFill rotWithShape="1">
                <a:gsLst>
                  <a:gs pos="0">
                    <a:schemeClr val="accent3">
                      <a:lumMod val="80000"/>
                      <a:lumOff val="20000"/>
                      <a:satMod val="103000"/>
                      <a:lumMod val="102000"/>
                      <a:tint val="94000"/>
                    </a:schemeClr>
                  </a:gs>
                  <a:gs pos="50000">
                    <a:schemeClr val="accent3">
                      <a:lumMod val="80000"/>
                      <a:lumOff val="20000"/>
                      <a:satMod val="110000"/>
                      <a:lumMod val="100000"/>
                      <a:shade val="100000"/>
                    </a:schemeClr>
                  </a:gs>
                  <a:gs pos="100000">
                    <a:schemeClr val="accent3">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1D-C94A-4FC7-A143-CC7D78C61EA7}"/>
              </c:ext>
            </c:extLst>
          </c:dPt>
          <c:dPt>
            <c:idx val="15"/>
            <c:invertIfNegative val="0"/>
            <c:bubble3D val="0"/>
            <c:spPr>
              <a:gradFill rotWithShape="1">
                <a:gsLst>
                  <a:gs pos="0">
                    <a:schemeClr val="accent4">
                      <a:lumMod val="80000"/>
                      <a:lumOff val="20000"/>
                      <a:satMod val="103000"/>
                      <a:lumMod val="102000"/>
                      <a:tint val="94000"/>
                    </a:schemeClr>
                  </a:gs>
                  <a:gs pos="50000">
                    <a:schemeClr val="accent4">
                      <a:lumMod val="80000"/>
                      <a:lumOff val="20000"/>
                      <a:satMod val="110000"/>
                      <a:lumMod val="100000"/>
                      <a:shade val="100000"/>
                    </a:schemeClr>
                  </a:gs>
                  <a:gs pos="100000">
                    <a:schemeClr val="accent4">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1F-C94A-4FC7-A143-CC7D78C61EA7}"/>
              </c:ext>
            </c:extLst>
          </c:dPt>
          <c:dPt>
            <c:idx val="16"/>
            <c:invertIfNegative val="0"/>
            <c:bubble3D val="0"/>
            <c:spPr>
              <a:gradFill rotWithShape="1">
                <a:gsLst>
                  <a:gs pos="0">
                    <a:schemeClr val="accent5">
                      <a:lumMod val="80000"/>
                      <a:lumOff val="20000"/>
                      <a:satMod val="103000"/>
                      <a:lumMod val="102000"/>
                      <a:tint val="94000"/>
                    </a:schemeClr>
                  </a:gs>
                  <a:gs pos="50000">
                    <a:schemeClr val="accent5">
                      <a:lumMod val="80000"/>
                      <a:lumOff val="20000"/>
                      <a:satMod val="110000"/>
                      <a:lumMod val="100000"/>
                      <a:shade val="100000"/>
                    </a:schemeClr>
                  </a:gs>
                  <a:gs pos="100000">
                    <a:schemeClr val="accent5">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21-C94A-4FC7-A143-CC7D78C61EA7}"/>
              </c:ext>
            </c:extLst>
          </c:dPt>
          <c:dPt>
            <c:idx val="17"/>
            <c:invertIfNegative val="0"/>
            <c:bubble3D val="0"/>
            <c:spPr>
              <a:gradFill rotWithShape="1">
                <a:gsLst>
                  <a:gs pos="0">
                    <a:schemeClr val="accent6">
                      <a:lumMod val="80000"/>
                      <a:lumOff val="20000"/>
                      <a:satMod val="103000"/>
                      <a:lumMod val="102000"/>
                      <a:tint val="94000"/>
                    </a:schemeClr>
                  </a:gs>
                  <a:gs pos="50000">
                    <a:schemeClr val="accent6">
                      <a:lumMod val="80000"/>
                      <a:lumOff val="20000"/>
                      <a:satMod val="110000"/>
                      <a:lumMod val="100000"/>
                      <a:shade val="100000"/>
                    </a:schemeClr>
                  </a:gs>
                  <a:gs pos="100000">
                    <a:schemeClr val="accent6">
                      <a:lumMod val="80000"/>
                      <a:lumOff val="20000"/>
                      <a:lumMod val="99000"/>
                      <a:satMod val="120000"/>
                      <a:shade val="78000"/>
                    </a:schemeClr>
                  </a:gs>
                </a:gsLst>
                <a:lin ang="5400000" scaled="0"/>
              </a:gradFill>
              <a:ln>
                <a:noFill/>
              </a:ln>
              <a:effectLst>
                <a:outerShdw blurRad="57150" dist="19050" dir="5400000" algn="ctr" rotWithShape="0">
                  <a:srgbClr val="000000">
                    <a:alpha val="63000"/>
                  </a:srgbClr>
                </a:outerShdw>
              </a:effectLst>
              <a:sp3d/>
            </c:spPr>
            <c:extLst>
              <c:ext xmlns:c16="http://schemas.microsoft.com/office/drawing/2014/chart" uri="{C3380CC4-5D6E-409C-BE32-E72D297353CC}">
                <c16:uniqueId val="{00000023-C94A-4FC7-A143-CC7D78C61EA7}"/>
              </c:ext>
            </c:extLst>
          </c:dPt>
          <c:cat>
            <c:strRef>
              <c:f>'[2]PTA SST 2024'!$N$81:$Y$81</c:f>
              <c:strCache>
                <c:ptCount val="12"/>
                <c:pt idx="0">
                  <c:v>I TRIMESTRE</c:v>
                </c:pt>
                <c:pt idx="1">
                  <c:v>0</c:v>
                </c:pt>
                <c:pt idx="2">
                  <c:v>0</c:v>
                </c:pt>
                <c:pt idx="3">
                  <c:v>II TRIMESTRE</c:v>
                </c:pt>
                <c:pt idx="4">
                  <c:v>0</c:v>
                </c:pt>
                <c:pt idx="5">
                  <c:v>0</c:v>
                </c:pt>
                <c:pt idx="6">
                  <c:v>III TRIMESTRE</c:v>
                </c:pt>
                <c:pt idx="7">
                  <c:v>0</c:v>
                </c:pt>
                <c:pt idx="8">
                  <c:v>0</c:v>
                </c:pt>
                <c:pt idx="9">
                  <c:v>IV TRIMESTRE</c:v>
                </c:pt>
                <c:pt idx="10">
                  <c:v>0</c:v>
                </c:pt>
                <c:pt idx="11">
                  <c:v>0</c:v>
                </c:pt>
              </c:strCache>
            </c:strRef>
          </c:cat>
          <c:val>
            <c:numRef>
              <c:f>'[2]PTA SST 2024'!$N$84:$Y$84</c:f>
              <c:numCache>
                <c:formatCode>General</c:formatCode>
                <c:ptCount val="12"/>
                <c:pt idx="0">
                  <c:v>1</c:v>
                </c:pt>
                <c:pt idx="1">
                  <c:v>0</c:v>
                </c:pt>
                <c:pt idx="2">
                  <c:v>0</c:v>
                </c:pt>
                <c:pt idx="3">
                  <c:v>7.1428571428571425E-2</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24-C94A-4FC7-A143-CC7D78C61EA7}"/>
            </c:ext>
          </c:extLst>
        </c:ser>
        <c:dLbls>
          <c:showLegendKey val="0"/>
          <c:showVal val="0"/>
          <c:showCatName val="0"/>
          <c:showSerName val="0"/>
          <c:showPercent val="0"/>
          <c:showBubbleSize val="0"/>
        </c:dLbls>
        <c:gapWidth val="150"/>
        <c:shape val="box"/>
        <c:axId val="-408197040"/>
        <c:axId val="-408194864"/>
        <c:axId val="0"/>
      </c:bar3DChart>
      <c:catAx>
        <c:axId val="-408197040"/>
        <c:scaling>
          <c:orientation val="minMax"/>
        </c:scaling>
        <c:delete val="0"/>
        <c:axPos val="b"/>
        <c:title>
          <c:tx>
            <c:rich>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rich>
          </c:tx>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08194864"/>
        <c:crosses val="autoZero"/>
        <c:auto val="1"/>
        <c:lblAlgn val="ctr"/>
        <c:lblOffset val="100"/>
        <c:noMultiLvlLbl val="1"/>
      </c:catAx>
      <c:valAx>
        <c:axId val="-4081948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rich>
          </c:tx>
          <c:overlay val="0"/>
          <c:spPr>
            <a:noFill/>
            <a:ln>
              <a:noFill/>
            </a:ln>
            <a:effectLst/>
          </c:spPr>
          <c:txPr>
            <a:bodyPr rot="-54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title>
        <c:numFmt formatCode="#,##0.00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081970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zero"/>
    <c:showDLblsOverMax val="1"/>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7">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10</xdr:col>
      <xdr:colOff>464608</xdr:colOff>
      <xdr:row>0</xdr:row>
      <xdr:rowOff>95250</xdr:rowOff>
    </xdr:from>
    <xdr:to>
      <xdr:col>12</xdr:col>
      <xdr:colOff>411157</xdr:colOff>
      <xdr:row>1</xdr:row>
      <xdr:rowOff>624671</xdr:rowOff>
    </xdr:to>
    <xdr:pic>
      <xdr:nvPicPr>
        <xdr:cNvPr id="2" name="Imagen 1">
          <a:extLst>
            <a:ext uri="{FF2B5EF4-FFF2-40B4-BE49-F238E27FC236}">
              <a16:creationId xmlns:a16="http://schemas.microsoft.com/office/drawing/2014/main" id="{346F1007-EC62-437D-B292-6B042FA3E8C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4608" y="95250"/>
          <a:ext cx="2099200" cy="9855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238125</xdr:colOff>
      <xdr:row>84</xdr:row>
      <xdr:rowOff>438150</xdr:rowOff>
    </xdr:from>
    <xdr:ext cx="7648575" cy="3571875"/>
    <xdr:graphicFrame macro="">
      <xdr:nvGraphicFramePr>
        <xdr:cNvPr id="2" name="Chart 1">
          <a:extLst>
            <a:ext uri="{FF2B5EF4-FFF2-40B4-BE49-F238E27FC236}">
              <a16:creationId xmlns:a16="http://schemas.microsoft.com/office/drawing/2014/main" id="{78228F88-1F39-478E-B4A8-99E35F8BDB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wsDr>
</file>

<file path=xl/drawings/drawing3.xml><?xml version="1.0" encoding="utf-8"?>
<xdr:wsDr xmlns:xdr="http://schemas.openxmlformats.org/drawingml/2006/spreadsheetDrawing" xmlns:a="http://schemas.openxmlformats.org/drawingml/2006/main">
  <xdr:twoCellAnchor editAs="oneCell">
    <xdr:from>
      <xdr:col>0</xdr:col>
      <xdr:colOff>457199</xdr:colOff>
      <xdr:row>0</xdr:row>
      <xdr:rowOff>161925</xdr:rowOff>
    </xdr:from>
    <xdr:to>
      <xdr:col>0</xdr:col>
      <xdr:colOff>3252550</xdr:colOff>
      <xdr:row>1</xdr:row>
      <xdr:rowOff>381000</xdr:rowOff>
    </xdr:to>
    <xdr:pic>
      <xdr:nvPicPr>
        <xdr:cNvPr id="2" name="Imagen 1">
          <a:extLst>
            <a:ext uri="{FF2B5EF4-FFF2-40B4-BE49-F238E27FC236}">
              <a16:creationId xmlns:a16="http://schemas.microsoft.com/office/drawing/2014/main" id="{59A2DC29-DCAE-4636-B401-8896602B259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7199" y="161925"/>
          <a:ext cx="2795351" cy="4019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E:\BKUP%2012%20JULIO\Documentos\DNBC\2023\PLANES%20Y%20PROGRAMAS\PLAN%20DE%20ACCI&#211;N\TRIMESTRE%20I%20y%20II\PLAN%20DE%20ACCION%20DNBC%202023%20A%20EVALUAR.xlsx" TargetMode="External"/><Relationship Id="rId1" Type="http://schemas.openxmlformats.org/officeDocument/2006/relationships/externalLinkPath" Target="file:///E:\BKUP%2012%20JULIO\Documentos\DNBC\2023\PLANES%20Y%20PROGRAMAS\PLAN%20DE%20ACCI&#211;N\TRIMESTRE%20I%20y%20II\PLAN%20DE%20ACCION%20DNBC%202023%20A%20EVALUAR.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adriana.moreno/Downloads/CRONOGRAMA%20PTA%20SG-SST%20DNBC%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as"/>
      <sheetName val="PTA SST 2023"/>
      <sheetName val="Hoja1"/>
      <sheetName val="PLAN DE ACCION INST."/>
      <sheetName val="CRONOGRAMA CAPACITACIÓN 2023"/>
      <sheetName val="PLAN DE BIENESTAR"/>
      <sheetName val="PLAN ESTRATÉGICO"/>
      <sheetName val="NOMINA"/>
      <sheetName val="PLAN ANUAL DE VACANTES"/>
      <sheetName val="PLAN DE PREVISIÓN TH"/>
      <sheetName val="PLAN CAPACITACIÓN"/>
      <sheetName val="PLAN BIENESTAR"/>
      <sheetName val="PLAN ESTRATEGICO TH"/>
      <sheetName val="PLAN ANUAL VACANTES"/>
      <sheetName val="PLAN DE PREVISIÓN DEL TH"/>
      <sheetName val="PLAN DE SST"/>
      <sheetName val="Hoja2"/>
      <sheetName val="RESUMEN"/>
    </sheetNames>
    <sheetDataSet>
      <sheetData sheetId="0" refreshError="1"/>
      <sheetData sheetId="1">
        <row r="73">
          <cell r="Z73" t="str">
            <v>I TRIMESTRE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A SST 2024"/>
      <sheetName val="PTA SST 2023"/>
    </sheetNames>
    <sheetDataSet>
      <sheetData sheetId="0">
        <row r="81">
          <cell r="N81" t="str">
            <v>I TRIMESTRE</v>
          </cell>
          <cell r="O81">
            <v>0</v>
          </cell>
          <cell r="P81">
            <v>0</v>
          </cell>
          <cell r="Q81" t="str">
            <v>II TRIMESTRE</v>
          </cell>
          <cell r="R81">
            <v>0</v>
          </cell>
          <cell r="S81">
            <v>0</v>
          </cell>
          <cell r="T81" t="str">
            <v>III TRIMESTRE</v>
          </cell>
          <cell r="U81">
            <v>0</v>
          </cell>
          <cell r="V81">
            <v>0</v>
          </cell>
          <cell r="W81" t="str">
            <v>IV TRIMESTRE</v>
          </cell>
          <cell r="X81">
            <v>0</v>
          </cell>
          <cell r="Y81">
            <v>0</v>
          </cell>
        </row>
        <row r="84">
          <cell r="N84">
            <v>1</v>
          </cell>
          <cell r="O84">
            <v>0</v>
          </cell>
          <cell r="P84">
            <v>0</v>
          </cell>
          <cell r="Q84">
            <v>7.1428571428571425E-2</v>
          </cell>
          <cell r="R84">
            <v>0</v>
          </cell>
          <cell r="S84">
            <v>0</v>
          </cell>
          <cell r="T84">
            <v>0</v>
          </cell>
          <cell r="U84">
            <v>0</v>
          </cell>
          <cell r="V84">
            <v>0</v>
          </cell>
          <cell r="W84">
            <v>0</v>
          </cell>
          <cell r="X84">
            <v>0</v>
          </cell>
          <cell r="Y84">
            <v>0</v>
          </cell>
        </row>
      </sheetData>
      <sheetData sheetId="1" refreshError="1"/>
    </sheetDataSet>
  </externalBook>
</externalLink>
</file>

<file path=xl/persons/person.xml><?xml version="1.0" encoding="utf-8"?>
<personList xmlns="http://schemas.microsoft.com/office/spreadsheetml/2018/threadedcomments" xmlns:x="http://schemas.openxmlformats.org/spreadsheetml/2006/main">
  <person displayName="Adriana Moreno Roncancio" id="{DA823A19-A825-473B-B363-2345779DBCB4}" userId="S::adriana.moreno@dnbc.gov.co::48d79e58-8865-4a29-9a97-fe67c5897805" providerId="AD"/>
  <person displayName="Recurso.Humano" id="{92BDC362-DB2F-4278-8ADF-A3D4D888EABB}" userId="S::recurso.humano@dnbc.gov.co::6ac22eb5-1192-488d-af98-f4db28aaa0dc"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G7" dT="2024-07-05T16:29:46.48" personId="{DA823A19-A825-473B-B363-2345779DBCB4}" id="{3EC006A2-F95F-447E-951B-26201E95B46B}">
    <text>SINSin iniciarEJEEn ejecuciónREPReprogramadoMODModificadoFINFinalizadoELIMEliminadoSUSPSuspendido</text>
  </threadedComment>
  <threadedComment ref="AH7" dT="2024-07-05T16:36:24.75" personId="{DA823A19-A825-473B-B363-2345779DBCB4}" id="{3E685983-34F4-4C1B-B1EA-9007673BD91C}">
    <text>Registrar los valores de acuerdo con formula definida en el indicador</text>
  </threadedComment>
  <threadedComment ref="AI7" dT="2024-07-05T16:36:40.50" personId="{DA823A19-A825-473B-B363-2345779DBCB4}" id="{C950D3DD-419F-4880-9DDE-E50350E8EB5C}">
    <text>Realice una breve descripción y análisis del comportamiento del indicador</text>
  </threadedComment>
  <threadedComment ref="AS7" dT="2024-07-05T16:37:20.14" personId="{DA823A19-A825-473B-B363-2345779DBCB4}" id="{E788AA7F-D70F-4F47-A89A-5C69F9002E77}">
    <text>SINSin iniciarEJEEn ejecuciónREPReprogramadoMODModificadoFINFinalizadoELIMEliminadoSUSPSuspendido</text>
  </threadedComment>
  <threadedComment ref="AT7" dT="2024-07-05T16:37:40.56" personId="{DA823A19-A825-473B-B363-2345779DBCB4}" id="{CA6F8276-420A-4ECD-A7DE-B16621889DB4}">
    <text>Registrar los valores de acuerdo con formula definida en el indicador</text>
  </threadedComment>
  <threadedComment ref="AU7" dT="2024-07-05T16:37:52.71" personId="{DA823A19-A825-473B-B363-2345779DBCB4}" id="{CD9FF328-6EA6-4D8A-AEAC-67E77EC04361}">
    <text>Realice una breve descripción y análisis del comportamiento del indicador</text>
  </threadedComment>
  <threadedComment ref="BE7" dT="2024-07-05T16:37:20.14" personId="{DA823A19-A825-473B-B363-2345779DBCB4}" id="{94D67A49-97F4-41B5-B98D-A7FCDE4A20EC}">
    <text>SINSin iniciarEJEEn ejecuciónREPReprogramadoMODModificadoFINFinalizadoELIMEliminadoSUSPSuspendido</text>
  </threadedComment>
  <threadedComment ref="BF7" dT="2024-07-05T16:37:40.56" personId="{DA823A19-A825-473B-B363-2345779DBCB4}" id="{A3052F81-FE38-4905-BF9D-B16215146A03}">
    <text>Registrar los valores de acuerdo con formula definida en el indicador</text>
  </threadedComment>
  <threadedComment ref="BG7" dT="2024-07-05T16:37:52.71" personId="{DA823A19-A825-473B-B363-2345779DBCB4}" id="{5C2D9738-6BBF-47C9-866E-813FDA248735}">
    <text>Realice una breve descripción y análisis del comportamiento del indicador</text>
  </threadedComment>
  <threadedComment ref="BQ7" dT="2024-07-05T16:37:20.14" personId="{DA823A19-A825-473B-B363-2345779DBCB4}" id="{50CFB2FA-0B00-48C4-AC35-C1ABF4CC3243}">
    <text>SINSin iniciarEJEEn ejecuciónREPReprogramadoMODModificadoFINFinalizadoELIMEliminadoSUSPSuspendido</text>
  </threadedComment>
  <threadedComment ref="BR7" dT="2024-07-05T16:37:40.56" personId="{DA823A19-A825-473B-B363-2345779DBCB4}" id="{11CF4B65-B5AE-4892-AF67-16763AB4BE68}">
    <text>Registrar los valores de acuerdo con formula definida en el indicador</text>
  </threadedComment>
  <threadedComment ref="BS7" dT="2024-07-05T16:37:52.71" personId="{DA823A19-A825-473B-B363-2345779DBCB4}" id="{F96BEAFF-EB49-43AD-B29D-A58AD7B77C88}">
    <text>Realice una breve descripción y análisis del comportamiento del indicador</text>
  </threadedComment>
</ThreadedComments>
</file>

<file path=xl/threadedComments/threadedComment2.xml><?xml version="1.0" encoding="utf-8"?>
<ThreadedComments xmlns="http://schemas.microsoft.com/office/spreadsheetml/2018/threadedcomments" xmlns:x="http://schemas.openxmlformats.org/spreadsheetml/2006/main">
  <threadedComment ref="D5" dT="2023-11-26T17:01:42.19" personId="{92BDC362-DB2F-4278-8ADF-A3D4D888EABB}" id="{228B8764-1AFF-4B09-8A51-659BBE73056E}">
    <text xml:space="preserve">A quien va dirigido </text>
  </threadedComment>
  <threadedComment ref="E5" dT="2023-11-26T17:02:35.73" personId="{92BDC362-DB2F-4278-8ADF-A3D4D888EABB}" id="{508FE454-9D37-4546-A42A-EFE10E751600}">
    <text xml:space="preserve">Evaluar
No evaluar </text>
  </threadedComment>
</ThreadedComments>
</file>

<file path=xl/worksheets/_rels/sheet10.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B22"/>
  <sheetViews>
    <sheetView workbookViewId="0">
      <selection activeCell="D18" sqref="D18"/>
    </sheetView>
  </sheetViews>
  <sheetFormatPr baseColWidth="10" defaultColWidth="11.42578125" defaultRowHeight="15" x14ac:dyDescent="0.25"/>
  <cols>
    <col min="1" max="1" width="65.5703125" bestFit="1" customWidth="1"/>
    <col min="2" max="2" width="20.5703125" bestFit="1" customWidth="1"/>
    <col min="3" max="18" width="65.5703125" bestFit="1" customWidth="1"/>
    <col min="19" max="19" width="12.5703125" bestFit="1" customWidth="1"/>
  </cols>
  <sheetData>
    <row r="3" spans="1:2" x14ac:dyDescent="0.25">
      <c r="A3" s="344" t="s">
        <v>0</v>
      </c>
      <c r="B3" t="s">
        <v>1</v>
      </c>
    </row>
    <row r="4" spans="1:2" x14ac:dyDescent="0.25">
      <c r="A4" s="345" t="s">
        <v>2</v>
      </c>
      <c r="B4">
        <v>16</v>
      </c>
    </row>
    <row r="5" spans="1:2" x14ac:dyDescent="0.25">
      <c r="A5" s="345" t="s">
        <v>3</v>
      </c>
      <c r="B5">
        <v>12</v>
      </c>
    </row>
    <row r="6" spans="1:2" x14ac:dyDescent="0.25">
      <c r="A6" s="345" t="s">
        <v>4</v>
      </c>
      <c r="B6">
        <v>14</v>
      </c>
    </row>
    <row r="7" spans="1:2" x14ac:dyDescent="0.25">
      <c r="A7" s="345" t="s">
        <v>5</v>
      </c>
      <c r="B7">
        <v>15</v>
      </c>
    </row>
    <row r="8" spans="1:2" x14ac:dyDescent="0.25">
      <c r="A8" s="345" t="s">
        <v>6</v>
      </c>
      <c r="B8">
        <v>10</v>
      </c>
    </row>
    <row r="9" spans="1:2" x14ac:dyDescent="0.25">
      <c r="A9" s="345" t="s">
        <v>7</v>
      </c>
      <c r="B9">
        <v>13</v>
      </c>
    </row>
    <row r="10" spans="1:2" x14ac:dyDescent="0.25">
      <c r="A10" s="345" t="s">
        <v>8</v>
      </c>
      <c r="B10">
        <v>20</v>
      </c>
    </row>
    <row r="11" spans="1:2" x14ac:dyDescent="0.25">
      <c r="A11" s="345" t="s">
        <v>9</v>
      </c>
      <c r="B11">
        <v>12</v>
      </c>
    </row>
    <row r="12" spans="1:2" x14ac:dyDescent="0.25">
      <c r="A12" s="345" t="s">
        <v>10</v>
      </c>
      <c r="B12">
        <v>15</v>
      </c>
    </row>
    <row r="13" spans="1:2" x14ac:dyDescent="0.25">
      <c r="A13" s="345" t="s">
        <v>11</v>
      </c>
      <c r="B13">
        <v>14</v>
      </c>
    </row>
    <row r="14" spans="1:2" x14ac:dyDescent="0.25">
      <c r="A14" s="345" t="s">
        <v>12</v>
      </c>
      <c r="B14">
        <v>13</v>
      </c>
    </row>
    <row r="15" spans="1:2" x14ac:dyDescent="0.25">
      <c r="A15" s="345" t="s">
        <v>13</v>
      </c>
      <c r="B15">
        <v>16</v>
      </c>
    </row>
    <row r="16" spans="1:2" x14ac:dyDescent="0.25">
      <c r="A16" s="345" t="s">
        <v>14</v>
      </c>
      <c r="B16">
        <v>13</v>
      </c>
    </row>
    <row r="17" spans="1:2" x14ac:dyDescent="0.25">
      <c r="A17" s="345" t="s">
        <v>15</v>
      </c>
      <c r="B17">
        <v>17</v>
      </c>
    </row>
    <row r="18" spans="1:2" x14ac:dyDescent="0.25">
      <c r="A18" s="345" t="s">
        <v>16</v>
      </c>
      <c r="B18">
        <v>14</v>
      </c>
    </row>
    <row r="19" spans="1:2" x14ac:dyDescent="0.25">
      <c r="A19" s="345" t="s">
        <v>17</v>
      </c>
      <c r="B19">
        <v>19</v>
      </c>
    </row>
    <row r="20" spans="1:2" x14ac:dyDescent="0.25">
      <c r="A20" s="345" t="s">
        <v>18</v>
      </c>
      <c r="B20">
        <v>13</v>
      </c>
    </row>
    <row r="21" spans="1:2" x14ac:dyDescent="0.25">
      <c r="A21" s="345" t="s">
        <v>19</v>
      </c>
      <c r="B21">
        <v>11</v>
      </c>
    </row>
    <row r="22" spans="1:2" x14ac:dyDescent="0.25">
      <c r="A22" s="345" t="s">
        <v>20</v>
      </c>
      <c r="B22">
        <v>257</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926"/>
  <sheetViews>
    <sheetView topLeftCell="A67" workbookViewId="0">
      <selection activeCell="D79" sqref="D79"/>
    </sheetView>
  </sheetViews>
  <sheetFormatPr baseColWidth="10" defaultColWidth="14.42578125" defaultRowHeight="15" x14ac:dyDescent="0.25"/>
  <cols>
    <col min="1" max="1" width="7.42578125" style="206" customWidth="1"/>
    <col min="2" max="2" width="6.42578125" style="206" customWidth="1"/>
    <col min="3" max="3" width="26" style="206" customWidth="1"/>
    <col min="4" max="4" width="8" style="261" customWidth="1"/>
    <col min="5" max="5" width="6.85546875" style="261" customWidth="1"/>
    <col min="6" max="7" width="3.5703125" style="261" customWidth="1"/>
    <col min="8" max="8" width="1.85546875" style="261" customWidth="1"/>
    <col min="9" max="9" width="1.140625" style="261" customWidth="1"/>
    <col min="10" max="10" width="27.5703125" style="261" customWidth="1"/>
    <col min="11" max="11" width="32.7109375" style="206" customWidth="1"/>
    <col min="12" max="12" width="15.85546875" style="206" customWidth="1"/>
    <col min="13" max="13" width="17" style="206" customWidth="1"/>
    <col min="14" max="16" width="9.7109375" style="206" hidden="1" customWidth="1"/>
    <col min="17" max="25" width="9.7109375" style="206" customWidth="1"/>
    <col min="26" max="26" width="15.42578125" style="206" customWidth="1"/>
    <col min="27" max="27" width="29.5703125" style="206" customWidth="1"/>
    <col min="28" max="33" width="16.140625" style="206" customWidth="1"/>
    <col min="34" max="16384" width="14.42578125" style="206"/>
  </cols>
  <sheetData>
    <row r="1" spans="1:27" ht="17.25" customHeight="1" x14ac:dyDescent="0.25">
      <c r="AA1" s="262"/>
    </row>
    <row r="2" spans="1:27" ht="5.25" customHeight="1" thickBot="1" x14ac:dyDescent="0.3">
      <c r="C2" s="263"/>
      <c r="D2" s="264"/>
      <c r="E2" s="264"/>
      <c r="F2" s="264"/>
      <c r="G2" s="264"/>
      <c r="H2" s="264"/>
      <c r="I2" s="264"/>
      <c r="J2" s="264"/>
      <c r="K2" s="265"/>
      <c r="L2" s="265"/>
      <c r="M2" s="265"/>
      <c r="N2" s="265"/>
      <c r="O2" s="265"/>
      <c r="P2" s="265"/>
      <c r="Q2" s="265"/>
      <c r="R2" s="265"/>
      <c r="S2" s="265"/>
      <c r="T2" s="265"/>
      <c r="U2" s="265"/>
      <c r="V2" s="265"/>
      <c r="W2" s="265"/>
      <c r="X2" s="265"/>
      <c r="Y2" s="265"/>
      <c r="AA2" s="266"/>
    </row>
    <row r="3" spans="1:27" ht="27.75" customHeight="1" thickBot="1" x14ac:dyDescent="0.3">
      <c r="A3" s="1545" t="s">
        <v>2218</v>
      </c>
      <c r="B3" s="1546"/>
      <c r="C3" s="1546"/>
      <c r="D3" s="1546"/>
      <c r="E3" s="1546"/>
      <c r="F3" s="1546"/>
      <c r="G3" s="1546"/>
      <c r="H3" s="1546"/>
      <c r="I3" s="1546"/>
      <c r="J3" s="1546"/>
      <c r="K3" s="1546"/>
      <c r="L3" s="1546"/>
      <c r="M3" s="1546"/>
      <c r="N3" s="1546"/>
      <c r="O3" s="1546"/>
      <c r="P3" s="1546"/>
      <c r="Q3" s="1546"/>
      <c r="R3" s="1546"/>
      <c r="S3" s="1546"/>
      <c r="T3" s="1546"/>
      <c r="U3" s="1546"/>
      <c r="V3" s="1546"/>
      <c r="W3" s="1546"/>
      <c r="X3" s="1546"/>
      <c r="Y3" s="1546"/>
      <c r="Z3" s="1546"/>
      <c r="AA3" s="1547"/>
    </row>
    <row r="4" spans="1:27" ht="44.25" customHeight="1" thickBot="1" x14ac:dyDescent="0.3">
      <c r="A4" s="1548" t="s">
        <v>2219</v>
      </c>
      <c r="B4" s="1548" t="s">
        <v>2220</v>
      </c>
      <c r="C4" s="1550" t="s">
        <v>2221</v>
      </c>
      <c r="D4" s="1551" t="s">
        <v>1968</v>
      </c>
      <c r="E4" s="1552"/>
      <c r="F4" s="1552"/>
      <c r="G4" s="1552"/>
      <c r="H4" s="1552"/>
      <c r="I4" s="1552"/>
      <c r="J4" s="1552"/>
      <c r="K4" s="1555" t="s">
        <v>2222</v>
      </c>
      <c r="L4" s="1555" t="s">
        <v>2223</v>
      </c>
      <c r="M4" s="1558" t="s">
        <v>2224</v>
      </c>
      <c r="N4" s="1560" t="s">
        <v>2225</v>
      </c>
      <c r="O4" s="1561"/>
      <c r="P4" s="1561"/>
      <c r="Q4" s="1561"/>
      <c r="R4" s="1561"/>
      <c r="S4" s="1561"/>
      <c r="T4" s="1561"/>
      <c r="U4" s="1561"/>
      <c r="V4" s="1561"/>
      <c r="W4" s="1561"/>
      <c r="X4" s="1561"/>
      <c r="Y4" s="1562"/>
      <c r="Z4" s="267" t="s">
        <v>2226</v>
      </c>
      <c r="AA4" s="1555" t="s">
        <v>2227</v>
      </c>
    </row>
    <row r="5" spans="1:27" ht="44.25" customHeight="1" thickBot="1" x14ac:dyDescent="0.3">
      <c r="A5" s="1549"/>
      <c r="B5" s="1549"/>
      <c r="C5" s="1549"/>
      <c r="D5" s="1553"/>
      <c r="E5" s="1554"/>
      <c r="F5" s="1554"/>
      <c r="G5" s="1554"/>
      <c r="H5" s="1554"/>
      <c r="I5" s="1554"/>
      <c r="J5" s="1554"/>
      <c r="K5" s="1556"/>
      <c r="L5" s="1557"/>
      <c r="M5" s="1559"/>
      <c r="N5" s="268" t="s">
        <v>1976</v>
      </c>
      <c r="O5" s="268" t="s">
        <v>1977</v>
      </c>
      <c r="P5" s="268" t="s">
        <v>1978</v>
      </c>
      <c r="Q5" s="268" t="s">
        <v>2228</v>
      </c>
      <c r="R5" s="268" t="s">
        <v>2229</v>
      </c>
      <c r="S5" s="268" t="s">
        <v>2230</v>
      </c>
      <c r="T5" s="268" t="s">
        <v>2231</v>
      </c>
      <c r="U5" s="268" t="s">
        <v>1983</v>
      </c>
      <c r="V5" s="268" t="s">
        <v>2232</v>
      </c>
      <c r="W5" s="268" t="s">
        <v>1985</v>
      </c>
      <c r="X5" s="268" t="s">
        <v>1986</v>
      </c>
      <c r="Y5" s="268" t="s">
        <v>1987</v>
      </c>
      <c r="Z5" s="269" t="s">
        <v>2030</v>
      </c>
      <c r="AA5" s="1556"/>
    </row>
    <row r="6" spans="1:27" ht="44.25" customHeight="1" thickBot="1" x14ac:dyDescent="0.3">
      <c r="A6" s="1532" t="s">
        <v>2233</v>
      </c>
      <c r="B6" s="1533" t="s">
        <v>2234</v>
      </c>
      <c r="C6" s="1534" t="s">
        <v>2235</v>
      </c>
      <c r="D6" s="1524" t="s">
        <v>2236</v>
      </c>
      <c r="E6" s="1525"/>
      <c r="F6" s="1525"/>
      <c r="G6" s="1525"/>
      <c r="H6" s="1525"/>
      <c r="I6" s="1525"/>
      <c r="J6" s="1526"/>
      <c r="K6" s="1536" t="s">
        <v>2237</v>
      </c>
      <c r="L6" s="1537" t="s">
        <v>2238</v>
      </c>
      <c r="M6" s="270" t="s">
        <v>2239</v>
      </c>
      <c r="N6" s="271"/>
      <c r="O6" s="271"/>
      <c r="P6" s="271"/>
      <c r="Q6" s="271" t="s">
        <v>2239</v>
      </c>
      <c r="R6" s="271"/>
      <c r="S6" s="271"/>
      <c r="T6" s="271"/>
      <c r="U6" s="271"/>
      <c r="V6" s="271"/>
      <c r="W6" s="271"/>
      <c r="X6" s="271"/>
      <c r="Y6" s="272"/>
      <c r="Z6" s="1510">
        <f>COUNTA(N7:Y7)/COUNTA(N6:Y6)</f>
        <v>1</v>
      </c>
      <c r="AA6" s="1512">
        <f>AVERAGE(Z6:Z33)</f>
        <v>0.43722943722943725</v>
      </c>
    </row>
    <row r="7" spans="1:27" ht="45" customHeight="1" thickBot="1" x14ac:dyDescent="0.3">
      <c r="A7" s="1532"/>
      <c r="B7" s="1533"/>
      <c r="C7" s="1535"/>
      <c r="D7" s="1518"/>
      <c r="E7" s="1519"/>
      <c r="F7" s="1519"/>
      <c r="G7" s="1519"/>
      <c r="H7" s="1519"/>
      <c r="I7" s="1519"/>
      <c r="J7" s="1520"/>
      <c r="K7" s="1521"/>
      <c r="L7" s="1523"/>
      <c r="M7" s="273" t="s">
        <v>2240</v>
      </c>
      <c r="N7" s="274"/>
      <c r="O7" s="274"/>
      <c r="P7" s="274"/>
      <c r="Q7" s="274" t="s">
        <v>2240</v>
      </c>
      <c r="R7" s="274"/>
      <c r="S7" s="274"/>
      <c r="T7" s="274"/>
      <c r="U7" s="274"/>
      <c r="V7" s="274"/>
      <c r="W7" s="274"/>
      <c r="X7" s="274"/>
      <c r="Y7" s="275"/>
      <c r="Z7" s="1511"/>
      <c r="AA7" s="1513"/>
    </row>
    <row r="8" spans="1:27" ht="45" customHeight="1" thickBot="1" x14ac:dyDescent="0.3">
      <c r="A8" s="1532"/>
      <c r="B8" s="1533"/>
      <c r="C8" s="1535"/>
      <c r="D8" s="1515" t="s">
        <v>2241</v>
      </c>
      <c r="E8" s="1516"/>
      <c r="F8" s="1516"/>
      <c r="G8" s="1516"/>
      <c r="H8" s="1516"/>
      <c r="I8" s="1516"/>
      <c r="J8" s="1517"/>
      <c r="K8" s="1403" t="s">
        <v>2242</v>
      </c>
      <c r="L8" s="1522" t="s">
        <v>2243</v>
      </c>
      <c r="M8" s="276" t="s">
        <v>2239</v>
      </c>
      <c r="N8" s="277"/>
      <c r="O8" s="277"/>
      <c r="P8" s="277"/>
      <c r="Q8" s="277" t="s">
        <v>2239</v>
      </c>
      <c r="R8" s="277"/>
      <c r="S8" s="277"/>
      <c r="T8" s="277"/>
      <c r="U8" s="277"/>
      <c r="V8" s="277"/>
      <c r="W8" s="277"/>
      <c r="X8" s="277"/>
      <c r="Y8" s="278"/>
      <c r="Z8" s="1510">
        <f>COUNTA(N9:Y9)/COUNTA(N8:Y8)</f>
        <v>1</v>
      </c>
      <c r="AA8" s="1513"/>
    </row>
    <row r="9" spans="1:27" ht="45" customHeight="1" thickBot="1" x14ac:dyDescent="0.3">
      <c r="A9" s="1532"/>
      <c r="B9" s="1533"/>
      <c r="C9" s="1535"/>
      <c r="D9" s="1518"/>
      <c r="E9" s="1519"/>
      <c r="F9" s="1519"/>
      <c r="G9" s="1519"/>
      <c r="H9" s="1519"/>
      <c r="I9" s="1519"/>
      <c r="J9" s="1520"/>
      <c r="K9" s="1521"/>
      <c r="L9" s="1523"/>
      <c r="M9" s="273" t="s">
        <v>2240</v>
      </c>
      <c r="N9" s="274"/>
      <c r="O9" s="274"/>
      <c r="P9" s="274"/>
      <c r="Q9" s="274" t="s">
        <v>2240</v>
      </c>
      <c r="R9" s="274"/>
      <c r="S9" s="274"/>
      <c r="T9" s="274"/>
      <c r="U9" s="274"/>
      <c r="V9" s="274"/>
      <c r="W9" s="274"/>
      <c r="X9" s="274"/>
      <c r="Y9" s="275"/>
      <c r="Z9" s="1511"/>
      <c r="AA9" s="1513"/>
    </row>
    <row r="10" spans="1:27" ht="45" customHeight="1" thickBot="1" x14ac:dyDescent="0.3">
      <c r="A10" s="1532"/>
      <c r="B10" s="1533"/>
      <c r="C10" s="1535"/>
      <c r="D10" s="1515" t="s">
        <v>2244</v>
      </c>
      <c r="E10" s="1516"/>
      <c r="F10" s="1516"/>
      <c r="G10" s="1516"/>
      <c r="H10" s="1516"/>
      <c r="I10" s="1516"/>
      <c r="J10" s="1517"/>
      <c r="K10" s="1403" t="s">
        <v>2245</v>
      </c>
      <c r="L10" s="1522" t="s">
        <v>2238</v>
      </c>
      <c r="M10" s="276" t="s">
        <v>2239</v>
      </c>
      <c r="N10" s="277" t="s">
        <v>2246</v>
      </c>
      <c r="O10" s="277" t="s">
        <v>2246</v>
      </c>
      <c r="P10" s="277" t="s">
        <v>2239</v>
      </c>
      <c r="Q10" s="277" t="s">
        <v>2246</v>
      </c>
      <c r="R10" s="277" t="s">
        <v>2239</v>
      </c>
      <c r="S10" s="277" t="s">
        <v>2246</v>
      </c>
      <c r="T10" s="277" t="s">
        <v>2246</v>
      </c>
      <c r="U10" s="277" t="s">
        <v>2246</v>
      </c>
      <c r="V10" s="277" t="s">
        <v>2246</v>
      </c>
      <c r="W10" s="277" t="s">
        <v>2246</v>
      </c>
      <c r="X10" s="277" t="s">
        <v>2246</v>
      </c>
      <c r="Y10" s="278" t="s">
        <v>2246</v>
      </c>
      <c r="Z10" s="1510">
        <f>COUNTA(N11:Y11)/COUNTA(N10:Y10)</f>
        <v>0.16666666666666666</v>
      </c>
      <c r="AA10" s="1513"/>
    </row>
    <row r="11" spans="1:27" ht="45" customHeight="1" thickBot="1" x14ac:dyDescent="0.3">
      <c r="A11" s="1532"/>
      <c r="B11" s="1533"/>
      <c r="C11" s="1535"/>
      <c r="D11" s="1518"/>
      <c r="E11" s="1519"/>
      <c r="F11" s="1519"/>
      <c r="G11" s="1519"/>
      <c r="H11" s="1519"/>
      <c r="I11" s="1519"/>
      <c r="J11" s="1520"/>
      <c r="K11" s="1521"/>
      <c r="L11" s="1523"/>
      <c r="M11" s="273" t="s">
        <v>2240</v>
      </c>
      <c r="N11" s="639"/>
      <c r="O11" s="274" t="s">
        <v>2240</v>
      </c>
      <c r="P11" s="274" t="s">
        <v>2240</v>
      </c>
      <c r="Q11" s="274"/>
      <c r="R11" s="274"/>
      <c r="S11" s="274"/>
      <c r="T11" s="274"/>
      <c r="U11" s="274"/>
      <c r="V11" s="274"/>
      <c r="W11" s="274"/>
      <c r="X11" s="274"/>
      <c r="Y11" s="275"/>
      <c r="Z11" s="1511"/>
      <c r="AA11" s="1513"/>
    </row>
    <row r="12" spans="1:27" ht="43.5" customHeight="1" thickBot="1" x14ac:dyDescent="0.3">
      <c r="A12" s="1532"/>
      <c r="B12" s="1533"/>
      <c r="C12" s="1535"/>
      <c r="D12" s="1524" t="s">
        <v>2247</v>
      </c>
      <c r="E12" s="1538"/>
      <c r="F12" s="1538"/>
      <c r="G12" s="1538"/>
      <c r="H12" s="1538"/>
      <c r="I12" s="1538"/>
      <c r="J12" s="1539"/>
      <c r="K12" s="1527" t="s">
        <v>2248</v>
      </c>
      <c r="L12" s="1528" t="s">
        <v>2249</v>
      </c>
      <c r="M12" s="270" t="s">
        <v>2239</v>
      </c>
      <c r="N12" s="271" t="s">
        <v>2246</v>
      </c>
      <c r="O12" s="271" t="s">
        <v>2246</v>
      </c>
      <c r="P12" s="271" t="s">
        <v>2246</v>
      </c>
      <c r="Q12" s="271" t="s">
        <v>2246</v>
      </c>
      <c r="R12" s="271" t="s">
        <v>2246</v>
      </c>
      <c r="S12" s="271" t="s">
        <v>2246</v>
      </c>
      <c r="T12" s="271" t="s">
        <v>2246</v>
      </c>
      <c r="U12" s="271" t="s">
        <v>2246</v>
      </c>
      <c r="V12" s="271" t="s">
        <v>2246</v>
      </c>
      <c r="W12" s="271" t="s">
        <v>2246</v>
      </c>
      <c r="X12" s="271" t="s">
        <v>2246</v>
      </c>
      <c r="Y12" s="271" t="s">
        <v>2246</v>
      </c>
      <c r="Z12" s="1448">
        <f>COUNTA(N13:Y13)/COUNTA(N12:Y12)</f>
        <v>0.5</v>
      </c>
      <c r="AA12" s="1513"/>
    </row>
    <row r="13" spans="1:27" ht="43.5" customHeight="1" thickBot="1" x14ac:dyDescent="0.3">
      <c r="A13" s="1532"/>
      <c r="B13" s="1533"/>
      <c r="C13" s="1535"/>
      <c r="D13" s="1540"/>
      <c r="E13" s="1541"/>
      <c r="F13" s="1541"/>
      <c r="G13" s="1541"/>
      <c r="H13" s="1541"/>
      <c r="I13" s="1541"/>
      <c r="J13" s="1542"/>
      <c r="K13" s="1441"/>
      <c r="L13" s="1529"/>
      <c r="M13" s="273" t="s">
        <v>2240</v>
      </c>
      <c r="N13" s="274" t="s">
        <v>2240</v>
      </c>
      <c r="O13" s="274" t="s">
        <v>2240</v>
      </c>
      <c r="P13" s="274" t="s">
        <v>2240</v>
      </c>
      <c r="Q13" s="274" t="s">
        <v>2240</v>
      </c>
      <c r="R13" s="274" t="s">
        <v>2240</v>
      </c>
      <c r="S13" s="274" t="s">
        <v>2240</v>
      </c>
      <c r="T13" s="305"/>
      <c r="U13" s="305"/>
      <c r="V13" s="305"/>
      <c r="W13" s="305"/>
      <c r="X13" s="305"/>
      <c r="Y13" s="305"/>
      <c r="Z13" s="1428"/>
      <c r="AA13" s="1513"/>
    </row>
    <row r="14" spans="1:27" ht="30.75" customHeight="1" thickBot="1" x14ac:dyDescent="0.3">
      <c r="A14" s="1532"/>
      <c r="B14" s="1533"/>
      <c r="C14" s="1535"/>
      <c r="D14" s="1524" t="s">
        <v>2250</v>
      </c>
      <c r="E14" s="1525"/>
      <c r="F14" s="1525"/>
      <c r="G14" s="1525"/>
      <c r="H14" s="1525"/>
      <c r="I14" s="1525"/>
      <c r="J14" s="1526"/>
      <c r="K14" s="1527" t="s">
        <v>2251</v>
      </c>
      <c r="L14" s="1528" t="s">
        <v>2252</v>
      </c>
      <c r="M14" s="270" t="s">
        <v>2239</v>
      </c>
      <c r="N14" s="279"/>
      <c r="O14" s="279"/>
      <c r="P14" s="271" t="s">
        <v>2246</v>
      </c>
      <c r="Q14" s="279"/>
      <c r="R14" s="279"/>
      <c r="S14" s="271" t="s">
        <v>2246</v>
      </c>
      <c r="T14" s="279"/>
      <c r="U14" s="279"/>
      <c r="V14" s="271" t="s">
        <v>2246</v>
      </c>
      <c r="W14" s="279"/>
      <c r="X14" s="279"/>
      <c r="Y14" s="271" t="s">
        <v>2246</v>
      </c>
      <c r="Z14" s="1448">
        <f>COUNTA(N15:Y15)/COUNTA(N14:Y14)</f>
        <v>0.5</v>
      </c>
      <c r="AA14" s="1513"/>
    </row>
    <row r="15" spans="1:27" ht="45" customHeight="1" thickBot="1" x14ac:dyDescent="0.3">
      <c r="A15" s="1532"/>
      <c r="B15" s="1533"/>
      <c r="C15" s="1535"/>
      <c r="D15" s="1518"/>
      <c r="E15" s="1519"/>
      <c r="F15" s="1519"/>
      <c r="G15" s="1519"/>
      <c r="H15" s="1519"/>
      <c r="I15" s="1519"/>
      <c r="J15" s="1520"/>
      <c r="K15" s="1441"/>
      <c r="L15" s="1529"/>
      <c r="M15" s="273" t="s">
        <v>2240</v>
      </c>
      <c r="N15" s="274"/>
      <c r="O15" s="280"/>
      <c r="P15" s="280" t="s">
        <v>2240</v>
      </c>
      <c r="Q15" s="280"/>
      <c r="R15" s="280"/>
      <c r="S15" s="280" t="s">
        <v>2240</v>
      </c>
      <c r="T15" s="280"/>
      <c r="U15" s="280"/>
      <c r="V15" s="306"/>
      <c r="W15" s="280"/>
      <c r="X15" s="280"/>
      <c r="Y15" s="306"/>
      <c r="Z15" s="1428"/>
      <c r="AA15" s="1513"/>
    </row>
    <row r="16" spans="1:27" ht="30.75" customHeight="1" thickBot="1" x14ac:dyDescent="0.3">
      <c r="A16" s="1532"/>
      <c r="B16" s="1533"/>
      <c r="C16" s="1534" t="s">
        <v>2253</v>
      </c>
      <c r="D16" s="1458" t="s">
        <v>2254</v>
      </c>
      <c r="E16" s="1505"/>
      <c r="F16" s="1505"/>
      <c r="G16" s="1505"/>
      <c r="H16" s="1505"/>
      <c r="I16" s="1505"/>
      <c r="J16" s="1506"/>
      <c r="K16" s="1440" t="s">
        <v>2255</v>
      </c>
      <c r="L16" s="1530" t="s">
        <v>2252</v>
      </c>
      <c r="M16" s="276" t="s">
        <v>2239</v>
      </c>
      <c r="N16" s="281"/>
      <c r="O16" s="281"/>
      <c r="P16" s="277"/>
      <c r="Q16" s="281" t="s">
        <v>2246</v>
      </c>
      <c r="R16" s="281"/>
      <c r="S16" s="277"/>
      <c r="T16" s="281"/>
      <c r="U16" s="281"/>
      <c r="V16" s="277"/>
      <c r="W16" s="281"/>
      <c r="X16" s="281"/>
      <c r="Y16" s="281"/>
      <c r="Z16" s="1448">
        <f>COUNTA(N17:Y17)/COUNTA(N16:Y16)</f>
        <v>0</v>
      </c>
      <c r="AA16" s="1513"/>
    </row>
    <row r="17" spans="1:27" ht="30.75" customHeight="1" thickBot="1" x14ac:dyDescent="0.3">
      <c r="A17" s="1532"/>
      <c r="B17" s="1533"/>
      <c r="C17" s="1535"/>
      <c r="D17" s="1507"/>
      <c r="E17" s="1508"/>
      <c r="F17" s="1508"/>
      <c r="G17" s="1508"/>
      <c r="H17" s="1508"/>
      <c r="I17" s="1508"/>
      <c r="J17" s="1509"/>
      <c r="K17" s="1441"/>
      <c r="L17" s="1531"/>
      <c r="M17" s="273" t="s">
        <v>2240</v>
      </c>
      <c r="N17" s="280"/>
      <c r="O17" s="280"/>
      <c r="P17" s="280"/>
      <c r="Q17" s="280"/>
      <c r="R17" s="280"/>
      <c r="S17" s="280"/>
      <c r="T17" s="280"/>
      <c r="U17" s="280"/>
      <c r="V17" s="280"/>
      <c r="W17" s="280"/>
      <c r="X17" s="280"/>
      <c r="Y17" s="280"/>
      <c r="Z17" s="1428"/>
      <c r="AA17" s="1513"/>
    </row>
    <row r="18" spans="1:27" ht="43.5" customHeight="1" thickBot="1" x14ac:dyDescent="0.3">
      <c r="A18" s="1532"/>
      <c r="B18" s="1533"/>
      <c r="C18" s="1535"/>
      <c r="D18" s="1458" t="s">
        <v>2256</v>
      </c>
      <c r="E18" s="1505"/>
      <c r="F18" s="1505"/>
      <c r="G18" s="1505"/>
      <c r="H18" s="1505"/>
      <c r="I18" s="1505"/>
      <c r="J18" s="1506"/>
      <c r="K18" s="1440" t="s">
        <v>2257</v>
      </c>
      <c r="L18" s="1462" t="s">
        <v>2238</v>
      </c>
      <c r="M18" s="276" t="s">
        <v>2239</v>
      </c>
      <c r="N18" s="281"/>
      <c r="O18" s="277" t="s">
        <v>2239</v>
      </c>
      <c r="P18" s="277" t="s">
        <v>2246</v>
      </c>
      <c r="Q18" s="277" t="s">
        <v>2246</v>
      </c>
      <c r="R18" s="277" t="s">
        <v>2246</v>
      </c>
      <c r="S18" s="277" t="s">
        <v>2246</v>
      </c>
      <c r="T18" s="277" t="s">
        <v>2246</v>
      </c>
      <c r="U18" s="277" t="s">
        <v>2246</v>
      </c>
      <c r="V18" s="277" t="s">
        <v>2246</v>
      </c>
      <c r="W18" s="277" t="s">
        <v>2246</v>
      </c>
      <c r="X18" s="277" t="s">
        <v>2246</v>
      </c>
      <c r="Y18" s="281" t="s">
        <v>2246</v>
      </c>
      <c r="Z18" s="1427">
        <f>COUNTA(N19:Y19)/COUNTA(N18:Y18)</f>
        <v>0.45454545454545453</v>
      </c>
      <c r="AA18" s="1513"/>
    </row>
    <row r="19" spans="1:27" ht="43.5" customHeight="1" thickBot="1" x14ac:dyDescent="0.3">
      <c r="A19" s="1532"/>
      <c r="B19" s="1533"/>
      <c r="C19" s="1543"/>
      <c r="D19" s="1507"/>
      <c r="E19" s="1508"/>
      <c r="F19" s="1508"/>
      <c r="G19" s="1508"/>
      <c r="H19" s="1508"/>
      <c r="I19" s="1508"/>
      <c r="J19" s="1509"/>
      <c r="K19" s="1441"/>
      <c r="L19" s="1463"/>
      <c r="M19" s="273" t="s">
        <v>2240</v>
      </c>
      <c r="N19" s="280"/>
      <c r="O19" s="280" t="s">
        <v>2240</v>
      </c>
      <c r="P19" s="280" t="s">
        <v>2240</v>
      </c>
      <c r="Q19" s="280" t="s">
        <v>2240</v>
      </c>
      <c r="R19" s="280" t="s">
        <v>2240</v>
      </c>
      <c r="S19" s="280" t="s">
        <v>2240</v>
      </c>
      <c r="T19" s="280"/>
      <c r="U19" s="306"/>
      <c r="V19" s="280"/>
      <c r="W19" s="280"/>
      <c r="X19" s="280"/>
      <c r="Y19" s="306"/>
      <c r="Z19" s="1428"/>
      <c r="AA19" s="1513"/>
    </row>
    <row r="20" spans="1:27" ht="51" customHeight="1" thickBot="1" x14ac:dyDescent="0.3">
      <c r="A20" s="1532"/>
      <c r="B20" s="1533" t="s">
        <v>2258</v>
      </c>
      <c r="C20" s="1504" t="s">
        <v>2259</v>
      </c>
      <c r="D20" s="1458" t="s">
        <v>2260</v>
      </c>
      <c r="E20" s="1505"/>
      <c r="F20" s="1505"/>
      <c r="G20" s="1505"/>
      <c r="H20" s="1505"/>
      <c r="I20" s="1505"/>
      <c r="J20" s="1506"/>
      <c r="K20" s="1440" t="s">
        <v>2261</v>
      </c>
      <c r="L20" s="1462" t="s">
        <v>2238</v>
      </c>
      <c r="M20" s="276" t="s">
        <v>2239</v>
      </c>
      <c r="N20" s="281"/>
      <c r="O20" s="281"/>
      <c r="P20" s="281"/>
      <c r="Q20" s="281"/>
      <c r="R20" s="277" t="s">
        <v>2246</v>
      </c>
      <c r="S20" s="281"/>
      <c r="T20" s="281"/>
      <c r="U20" s="281"/>
      <c r="V20" s="281"/>
      <c r="W20" s="281"/>
      <c r="X20" s="281" t="s">
        <v>2239</v>
      </c>
      <c r="Y20" s="281"/>
      <c r="Z20" s="1427">
        <f>COUNTA(N21:Y21)/COUNTA(N20:Y20)</f>
        <v>0.5</v>
      </c>
      <c r="AA20" s="1513"/>
    </row>
    <row r="21" spans="1:27" ht="51" customHeight="1" thickBot="1" x14ac:dyDescent="0.3">
      <c r="A21" s="1532"/>
      <c r="B21" s="1533"/>
      <c r="C21" s="1435"/>
      <c r="D21" s="1507"/>
      <c r="E21" s="1508"/>
      <c r="F21" s="1508"/>
      <c r="G21" s="1508"/>
      <c r="H21" s="1508"/>
      <c r="I21" s="1508"/>
      <c r="J21" s="1509"/>
      <c r="K21" s="1441"/>
      <c r="L21" s="1463"/>
      <c r="M21" s="273" t="s">
        <v>2240</v>
      </c>
      <c r="N21" s="280"/>
      <c r="O21" s="280"/>
      <c r="P21" s="280"/>
      <c r="Q21" s="280"/>
      <c r="R21" s="280" t="s">
        <v>2240</v>
      </c>
      <c r="S21" s="280"/>
      <c r="T21" s="306"/>
      <c r="U21" s="280"/>
      <c r="V21" s="280"/>
      <c r="W21" s="280"/>
      <c r="X21" s="280"/>
      <c r="Y21" s="280"/>
      <c r="Z21" s="1428"/>
      <c r="AA21" s="1513"/>
    </row>
    <row r="22" spans="1:27" ht="43.5" customHeight="1" thickBot="1" x14ac:dyDescent="0.3">
      <c r="A22" s="1532"/>
      <c r="B22" s="1533"/>
      <c r="C22" s="1504" t="s">
        <v>2262</v>
      </c>
      <c r="D22" s="1458" t="s">
        <v>2263</v>
      </c>
      <c r="E22" s="1505"/>
      <c r="F22" s="1505"/>
      <c r="G22" s="1505"/>
      <c r="H22" s="1505"/>
      <c r="I22" s="1505"/>
      <c r="J22" s="1506"/>
      <c r="K22" s="1440" t="s">
        <v>2264</v>
      </c>
      <c r="L22" s="1442" t="s">
        <v>2238</v>
      </c>
      <c r="M22" s="276" t="s">
        <v>2239</v>
      </c>
      <c r="N22" s="281"/>
      <c r="O22" s="281"/>
      <c r="P22" s="281"/>
      <c r="Q22" s="281"/>
      <c r="R22" s="277" t="s">
        <v>2239</v>
      </c>
      <c r="S22" s="281"/>
      <c r="T22" s="281"/>
      <c r="U22" s="281"/>
      <c r="V22" s="281"/>
      <c r="W22" s="281"/>
      <c r="X22" s="281" t="s">
        <v>2239</v>
      </c>
      <c r="Y22" s="281"/>
      <c r="Z22" s="1427">
        <f>COUNTA(N23:Y23)/COUNTA(N22:Y22)</f>
        <v>0</v>
      </c>
      <c r="AA22" s="1513"/>
    </row>
    <row r="23" spans="1:27" ht="43.5" customHeight="1" thickBot="1" x14ac:dyDescent="0.3">
      <c r="A23" s="1532"/>
      <c r="B23" s="1533"/>
      <c r="C23" s="1435"/>
      <c r="D23" s="1507"/>
      <c r="E23" s="1508"/>
      <c r="F23" s="1508"/>
      <c r="G23" s="1508"/>
      <c r="H23" s="1508"/>
      <c r="I23" s="1508"/>
      <c r="J23" s="1509"/>
      <c r="K23" s="1441"/>
      <c r="L23" s="1443"/>
      <c r="M23" s="273" t="s">
        <v>2240</v>
      </c>
      <c r="N23" s="280"/>
      <c r="O23" s="280"/>
      <c r="P23" s="280"/>
      <c r="Q23" s="280"/>
      <c r="R23" s="280"/>
      <c r="S23" s="280"/>
      <c r="T23" s="306"/>
      <c r="U23" s="280"/>
      <c r="V23" s="280"/>
      <c r="W23" s="306"/>
      <c r="X23" s="280"/>
      <c r="Y23" s="280"/>
      <c r="Z23" s="1428"/>
      <c r="AA23" s="1513"/>
    </row>
    <row r="24" spans="1:27" ht="43.5" customHeight="1" thickBot="1" x14ac:dyDescent="0.3">
      <c r="A24" s="1532"/>
      <c r="B24" s="1533"/>
      <c r="C24" s="1504" t="s">
        <v>2265</v>
      </c>
      <c r="D24" s="1458" t="s">
        <v>2266</v>
      </c>
      <c r="E24" s="1505"/>
      <c r="F24" s="1505"/>
      <c r="G24" s="1505"/>
      <c r="H24" s="1505"/>
      <c r="I24" s="1505"/>
      <c r="J24" s="1506"/>
      <c r="K24" s="1440" t="s">
        <v>2267</v>
      </c>
      <c r="L24" s="1442" t="s">
        <v>2238</v>
      </c>
      <c r="M24" s="276" t="s">
        <v>2239</v>
      </c>
      <c r="N24" s="277"/>
      <c r="O24" s="281" t="s">
        <v>2246</v>
      </c>
      <c r="P24" s="281"/>
      <c r="Q24" s="281"/>
      <c r="R24" s="281"/>
      <c r="S24" s="281"/>
      <c r="T24" s="281"/>
      <c r="U24" s="281"/>
      <c r="V24" s="281"/>
      <c r="W24" s="281"/>
      <c r="X24" s="281"/>
      <c r="Y24" s="281"/>
      <c r="Z24" s="1427">
        <f>COUNTA(N25:Y25)/COUNTA(N24:Y24)</f>
        <v>0</v>
      </c>
      <c r="AA24" s="1513"/>
    </row>
    <row r="25" spans="1:27" ht="43.5" customHeight="1" thickBot="1" x14ac:dyDescent="0.3">
      <c r="A25" s="1532"/>
      <c r="B25" s="1533"/>
      <c r="C25" s="1435"/>
      <c r="D25" s="1507"/>
      <c r="E25" s="1508"/>
      <c r="F25" s="1508"/>
      <c r="G25" s="1508"/>
      <c r="H25" s="1508"/>
      <c r="I25" s="1508"/>
      <c r="J25" s="1509"/>
      <c r="K25" s="1441"/>
      <c r="L25" s="1443"/>
      <c r="M25" s="273" t="s">
        <v>2240</v>
      </c>
      <c r="N25" s="280"/>
      <c r="O25" s="640"/>
      <c r="P25" s="280"/>
      <c r="Q25" s="280"/>
      <c r="R25" s="280"/>
      <c r="S25" s="280"/>
      <c r="T25" s="280"/>
      <c r="U25" s="280"/>
      <c r="V25" s="280"/>
      <c r="W25" s="280"/>
      <c r="X25" s="280"/>
      <c r="Y25" s="280"/>
      <c r="Z25" s="1428"/>
      <c r="AA25" s="1513"/>
    </row>
    <row r="26" spans="1:27" ht="43.5" customHeight="1" thickBot="1" x14ac:dyDescent="0.3">
      <c r="A26" s="1532"/>
      <c r="B26" s="1533"/>
      <c r="C26" s="1504" t="s">
        <v>2268</v>
      </c>
      <c r="D26" s="1458" t="s">
        <v>2269</v>
      </c>
      <c r="E26" s="1459"/>
      <c r="F26" s="1459"/>
      <c r="G26" s="1459"/>
      <c r="H26" s="1459"/>
      <c r="I26" s="1459"/>
      <c r="J26" s="1459"/>
      <c r="K26" s="1440" t="s">
        <v>2270</v>
      </c>
      <c r="L26" s="1442" t="s">
        <v>2238</v>
      </c>
      <c r="M26" s="276" t="s">
        <v>2239</v>
      </c>
      <c r="N26" s="277" t="s">
        <v>2246</v>
      </c>
      <c r="O26" s="277"/>
      <c r="P26" s="281"/>
      <c r="Q26" s="281"/>
      <c r="R26" s="281"/>
      <c r="S26" s="281"/>
      <c r="T26" s="281"/>
      <c r="U26" s="281"/>
      <c r="V26" s="281"/>
      <c r="W26" s="281"/>
      <c r="X26" s="281"/>
      <c r="Y26" s="281"/>
      <c r="Z26" s="1427">
        <f>COUNTA(N27:Y27)/COUNTA(N26:Y26)</f>
        <v>1</v>
      </c>
      <c r="AA26" s="1513"/>
    </row>
    <row r="27" spans="1:27" ht="43.5" customHeight="1" thickBot="1" x14ac:dyDescent="0.3">
      <c r="A27" s="1532"/>
      <c r="B27" s="1533"/>
      <c r="C27" s="1435"/>
      <c r="D27" s="1460"/>
      <c r="E27" s="1461"/>
      <c r="F27" s="1461"/>
      <c r="G27" s="1461"/>
      <c r="H27" s="1461"/>
      <c r="I27" s="1461"/>
      <c r="J27" s="1461"/>
      <c r="K27" s="1441"/>
      <c r="L27" s="1443"/>
      <c r="M27" s="273" t="s">
        <v>2240</v>
      </c>
      <c r="N27" s="280" t="s">
        <v>2240</v>
      </c>
      <c r="O27" s="280"/>
      <c r="P27" s="280"/>
      <c r="Q27" s="280"/>
      <c r="R27" s="280"/>
      <c r="S27" s="280"/>
      <c r="T27" s="306"/>
      <c r="U27" s="280"/>
      <c r="V27" s="280"/>
      <c r="W27" s="280"/>
      <c r="X27" s="280"/>
      <c r="Y27" s="280"/>
      <c r="Z27" s="1428"/>
      <c r="AA27" s="1513"/>
    </row>
    <row r="28" spans="1:27" ht="43.5" customHeight="1" thickBot="1" x14ac:dyDescent="0.3">
      <c r="A28" s="1532"/>
      <c r="B28" s="1533"/>
      <c r="C28" s="1504" t="s">
        <v>2271</v>
      </c>
      <c r="D28" s="1436" t="s">
        <v>2272</v>
      </c>
      <c r="E28" s="1437"/>
      <c r="F28" s="1437"/>
      <c r="G28" s="1437"/>
      <c r="H28" s="1437"/>
      <c r="I28" s="1437"/>
      <c r="J28" s="1437"/>
      <c r="K28" s="1440" t="s">
        <v>2273</v>
      </c>
      <c r="L28" s="1442" t="s">
        <v>2238</v>
      </c>
      <c r="M28" s="276" t="s">
        <v>2239</v>
      </c>
      <c r="N28" s="281"/>
      <c r="O28" s="277"/>
      <c r="P28" s="277"/>
      <c r="Q28" s="281"/>
      <c r="R28" s="281"/>
      <c r="S28" s="281"/>
      <c r="T28" s="281"/>
      <c r="U28" s="281"/>
      <c r="V28" s="281"/>
      <c r="W28" s="277"/>
      <c r="X28" s="281"/>
      <c r="Y28" s="307" t="s">
        <v>2246</v>
      </c>
      <c r="Z28" s="1427">
        <f>COUNTA(N29:Y29)/COUNTA(N28:Y28)</f>
        <v>0</v>
      </c>
      <c r="AA28" s="1513"/>
    </row>
    <row r="29" spans="1:27" ht="43.5" customHeight="1" thickBot="1" x14ac:dyDescent="0.3">
      <c r="A29" s="1532"/>
      <c r="B29" s="1533"/>
      <c r="C29" s="1435"/>
      <c r="D29" s="1438"/>
      <c r="E29" s="1439"/>
      <c r="F29" s="1439"/>
      <c r="G29" s="1439"/>
      <c r="H29" s="1439"/>
      <c r="I29" s="1439"/>
      <c r="J29" s="1439"/>
      <c r="K29" s="1441"/>
      <c r="L29" s="1443"/>
      <c r="M29" s="273" t="s">
        <v>2240</v>
      </c>
      <c r="N29" s="280"/>
      <c r="O29" s="280"/>
      <c r="P29" s="280"/>
      <c r="Q29" s="280"/>
      <c r="R29" s="280"/>
      <c r="S29" s="280"/>
      <c r="T29" s="280"/>
      <c r="U29" s="280"/>
      <c r="V29" s="280"/>
      <c r="W29" s="306"/>
      <c r="X29" s="280"/>
      <c r="Y29" s="280"/>
      <c r="Z29" s="1428"/>
      <c r="AA29" s="1513"/>
    </row>
    <row r="30" spans="1:27" ht="43.5" customHeight="1" thickBot="1" x14ac:dyDescent="0.3">
      <c r="A30" s="1532"/>
      <c r="B30" s="1533"/>
      <c r="C30" s="1504" t="s">
        <v>2274</v>
      </c>
      <c r="D30" s="1436" t="s">
        <v>2275</v>
      </c>
      <c r="E30" s="1437"/>
      <c r="F30" s="1437"/>
      <c r="G30" s="1437"/>
      <c r="H30" s="1437"/>
      <c r="I30" s="1437"/>
      <c r="J30" s="1437"/>
      <c r="K30" s="1440" t="s">
        <v>2276</v>
      </c>
      <c r="L30" s="1442" t="s">
        <v>2238</v>
      </c>
      <c r="M30" s="276" t="s">
        <v>2239</v>
      </c>
      <c r="N30" s="277"/>
      <c r="O30" s="277"/>
      <c r="P30" s="277"/>
      <c r="Q30" s="277" t="s">
        <v>2246</v>
      </c>
      <c r="R30" s="277"/>
      <c r="S30" s="277"/>
      <c r="T30" s="277"/>
      <c r="U30" s="277" t="s">
        <v>2246</v>
      </c>
      <c r="V30" s="277"/>
      <c r="W30" s="277"/>
      <c r="X30" s="277"/>
      <c r="Y30" s="277" t="s">
        <v>2246</v>
      </c>
      <c r="Z30" s="1427">
        <f>COUNTA(N31:Y31)/COUNTA(N30:X30)</f>
        <v>0.5</v>
      </c>
      <c r="AA30" s="1513"/>
    </row>
    <row r="31" spans="1:27" ht="43.5" customHeight="1" thickBot="1" x14ac:dyDescent="0.3">
      <c r="A31" s="1532"/>
      <c r="B31" s="1533"/>
      <c r="C31" s="1435"/>
      <c r="D31" s="1438"/>
      <c r="E31" s="1439"/>
      <c r="F31" s="1439"/>
      <c r="G31" s="1439"/>
      <c r="H31" s="1439"/>
      <c r="I31" s="1439"/>
      <c r="J31" s="1439"/>
      <c r="K31" s="1441"/>
      <c r="L31" s="1443"/>
      <c r="M31" s="273" t="s">
        <v>2240</v>
      </c>
      <c r="N31" s="280"/>
      <c r="O31" s="280"/>
      <c r="P31" s="280"/>
      <c r="Q31" s="280" t="s">
        <v>2240</v>
      </c>
      <c r="R31" s="280"/>
      <c r="S31" s="280"/>
      <c r="T31" s="306"/>
      <c r="U31" s="306"/>
      <c r="V31" s="306"/>
      <c r="W31" s="306"/>
      <c r="X31" s="306"/>
      <c r="Y31" s="306"/>
      <c r="Z31" s="1428"/>
      <c r="AA31" s="1513"/>
    </row>
    <row r="32" spans="1:27" ht="43.5" customHeight="1" thickBot="1" x14ac:dyDescent="0.3">
      <c r="A32" s="1532"/>
      <c r="B32" s="1533"/>
      <c r="C32" s="1534" t="s">
        <v>2277</v>
      </c>
      <c r="D32" s="1436" t="s">
        <v>2278</v>
      </c>
      <c r="E32" s="1437"/>
      <c r="F32" s="1437"/>
      <c r="G32" s="1437"/>
      <c r="H32" s="1437"/>
      <c r="I32" s="1437"/>
      <c r="J32" s="1437"/>
      <c r="K32" s="1440" t="s">
        <v>2279</v>
      </c>
      <c r="L32" s="1501" t="s">
        <v>2238</v>
      </c>
      <c r="M32" s="276" t="s">
        <v>2239</v>
      </c>
      <c r="N32" s="281"/>
      <c r="O32" s="277"/>
      <c r="P32" s="277"/>
      <c r="Q32" s="277"/>
      <c r="R32" s="277"/>
      <c r="S32" s="277" t="s">
        <v>2239</v>
      </c>
      <c r="T32" s="281"/>
      <c r="U32" s="277"/>
      <c r="V32" s="277"/>
      <c r="W32" s="281"/>
      <c r="X32" s="277"/>
      <c r="Y32" s="277" t="s">
        <v>2246</v>
      </c>
      <c r="Z32" s="1427">
        <f>COUNTA(N33:Y33)/COUNTA(N32:Y32)</f>
        <v>0.5</v>
      </c>
      <c r="AA32" s="1513"/>
    </row>
    <row r="33" spans="1:27" ht="57.75" customHeight="1" thickBot="1" x14ac:dyDescent="0.3">
      <c r="A33" s="1532"/>
      <c r="B33" s="1533"/>
      <c r="C33" s="1543"/>
      <c r="D33" s="1438"/>
      <c r="E33" s="1439"/>
      <c r="F33" s="1439"/>
      <c r="G33" s="1439"/>
      <c r="H33" s="1439"/>
      <c r="I33" s="1439"/>
      <c r="J33" s="1439"/>
      <c r="K33" s="1544"/>
      <c r="L33" s="1502"/>
      <c r="M33" s="273" t="s">
        <v>2240</v>
      </c>
      <c r="N33" s="280"/>
      <c r="O33" s="280"/>
      <c r="P33" s="280"/>
      <c r="Q33" s="280"/>
      <c r="R33" s="280"/>
      <c r="S33" s="280" t="s">
        <v>2240</v>
      </c>
      <c r="T33" s="280"/>
      <c r="U33" s="306"/>
      <c r="V33" s="280"/>
      <c r="W33" s="280"/>
      <c r="X33" s="280"/>
      <c r="Y33" s="306"/>
      <c r="Z33" s="1490"/>
      <c r="AA33" s="1514"/>
    </row>
    <row r="34" spans="1:27" ht="43.5" customHeight="1" thickBot="1" x14ac:dyDescent="0.3">
      <c r="A34" s="1469" t="s">
        <v>2280</v>
      </c>
      <c r="B34" s="1470" t="s">
        <v>2281</v>
      </c>
      <c r="C34" s="1471" t="s">
        <v>2282</v>
      </c>
      <c r="D34" s="1458" t="s">
        <v>2283</v>
      </c>
      <c r="E34" s="1459"/>
      <c r="F34" s="1459"/>
      <c r="G34" s="1459"/>
      <c r="H34" s="1459"/>
      <c r="I34" s="1459"/>
      <c r="J34" s="1459"/>
      <c r="K34" s="1440" t="s">
        <v>2284</v>
      </c>
      <c r="L34" s="1501" t="s">
        <v>2238</v>
      </c>
      <c r="M34" s="276" t="s">
        <v>2239</v>
      </c>
      <c r="N34" s="281"/>
      <c r="O34" s="277"/>
      <c r="P34" s="281"/>
      <c r="Q34" s="281" t="s">
        <v>2246</v>
      </c>
      <c r="R34" s="281" t="s">
        <v>2246</v>
      </c>
      <c r="S34" s="277" t="s">
        <v>2246</v>
      </c>
      <c r="T34" s="281" t="s">
        <v>2246</v>
      </c>
      <c r="U34" s="281" t="s">
        <v>2246</v>
      </c>
      <c r="V34" s="281" t="s">
        <v>2246</v>
      </c>
      <c r="W34" s="281" t="s">
        <v>2246</v>
      </c>
      <c r="X34" s="281" t="s">
        <v>2246</v>
      </c>
      <c r="Y34" s="277" t="s">
        <v>2246</v>
      </c>
      <c r="Z34" s="1427">
        <f>COUNTA(N35:Y35)/COUNTA(N34:Y34)</f>
        <v>0.33333333333333331</v>
      </c>
      <c r="AA34" s="1491">
        <f>AVERAGE(Z34:Z65)</f>
        <v>0.19970238095238096</v>
      </c>
    </row>
    <row r="35" spans="1:27" ht="43.5" customHeight="1" thickBot="1" x14ac:dyDescent="0.3">
      <c r="A35" s="1469"/>
      <c r="B35" s="1470"/>
      <c r="C35" s="1435"/>
      <c r="D35" s="1460"/>
      <c r="E35" s="1461"/>
      <c r="F35" s="1461"/>
      <c r="G35" s="1461"/>
      <c r="H35" s="1461"/>
      <c r="I35" s="1461"/>
      <c r="J35" s="1461"/>
      <c r="K35" s="1441"/>
      <c r="L35" s="1502"/>
      <c r="M35" s="273" t="s">
        <v>2240</v>
      </c>
      <c r="N35" s="280"/>
      <c r="O35" s="280"/>
      <c r="P35" s="280"/>
      <c r="Q35" s="280" t="s">
        <v>2240</v>
      </c>
      <c r="R35" s="280" t="s">
        <v>2240</v>
      </c>
      <c r="S35" s="280" t="s">
        <v>2240</v>
      </c>
      <c r="T35" s="306"/>
      <c r="U35" s="306"/>
      <c r="V35" s="306"/>
      <c r="W35" s="306"/>
      <c r="X35" s="306"/>
      <c r="Y35" s="306"/>
      <c r="Z35" s="1428"/>
      <c r="AA35" s="1492"/>
    </row>
    <row r="36" spans="1:27" ht="59.25" customHeight="1" thickBot="1" x14ac:dyDescent="0.3">
      <c r="A36" s="1469"/>
      <c r="B36" s="1470"/>
      <c r="C36" s="1435"/>
      <c r="D36" s="1494" t="s">
        <v>2285</v>
      </c>
      <c r="E36" s="1494"/>
      <c r="F36" s="1494"/>
      <c r="G36" s="1494"/>
      <c r="H36" s="1494"/>
      <c r="I36" s="1494"/>
      <c r="J36" s="1494"/>
      <c r="K36" s="1495" t="s">
        <v>2286</v>
      </c>
      <c r="L36" s="1497" t="s">
        <v>2238</v>
      </c>
      <c r="M36" s="276" t="s">
        <v>2239</v>
      </c>
      <c r="N36" s="281"/>
      <c r="O36" s="281"/>
      <c r="P36" s="281"/>
      <c r="Q36" s="281"/>
      <c r="R36" s="277" t="s">
        <v>2239</v>
      </c>
      <c r="S36" s="277" t="s">
        <v>2239</v>
      </c>
      <c r="T36" s="281" t="s">
        <v>2239</v>
      </c>
      <c r="U36" s="281" t="s">
        <v>2239</v>
      </c>
      <c r="V36" s="277"/>
      <c r="W36" s="281"/>
      <c r="X36" s="277"/>
      <c r="Y36" s="281"/>
      <c r="Z36" s="1427">
        <f>COUNTA(N37:Y37)/COUNTA(N36:Y36)</f>
        <v>0</v>
      </c>
      <c r="AA36" s="1492"/>
    </row>
    <row r="37" spans="1:27" ht="44.25" customHeight="1" thickBot="1" x14ac:dyDescent="0.3">
      <c r="A37" s="1469"/>
      <c r="B37" s="1470"/>
      <c r="C37" s="1435"/>
      <c r="D37" s="1494"/>
      <c r="E37" s="1494"/>
      <c r="F37" s="1494"/>
      <c r="G37" s="1494"/>
      <c r="H37" s="1494"/>
      <c r="I37" s="1494"/>
      <c r="J37" s="1494"/>
      <c r="K37" s="1496"/>
      <c r="L37" s="1497"/>
      <c r="M37" s="273" t="s">
        <v>2240</v>
      </c>
      <c r="N37" s="280"/>
      <c r="O37" s="280"/>
      <c r="P37" s="280"/>
      <c r="Q37" s="280"/>
      <c r="R37" s="280"/>
      <c r="S37" s="280"/>
      <c r="T37" s="280"/>
      <c r="U37" s="280"/>
      <c r="V37" s="280"/>
      <c r="W37" s="280"/>
      <c r="X37" s="280"/>
      <c r="Y37" s="306"/>
      <c r="Z37" s="1428"/>
      <c r="AA37" s="1492"/>
    </row>
    <row r="38" spans="1:27" ht="44.25" customHeight="1" thickBot="1" x14ac:dyDescent="0.3">
      <c r="A38" s="1469"/>
      <c r="B38" s="1470"/>
      <c r="C38" s="1435"/>
      <c r="D38" s="1494" t="s">
        <v>2287</v>
      </c>
      <c r="E38" s="1494"/>
      <c r="F38" s="1494"/>
      <c r="G38" s="1494"/>
      <c r="H38" s="1494"/>
      <c r="I38" s="1494"/>
      <c r="J38" s="1494"/>
      <c r="K38" s="1498" t="s">
        <v>2288</v>
      </c>
      <c r="L38" s="1500" t="s">
        <v>2238</v>
      </c>
      <c r="M38" s="282" t="s">
        <v>2239</v>
      </c>
      <c r="N38" s="281"/>
      <c r="O38" s="281" t="s">
        <v>2246</v>
      </c>
      <c r="P38" s="281"/>
      <c r="Q38" s="281" t="s">
        <v>2246</v>
      </c>
      <c r="R38" s="277"/>
      <c r="S38" s="277" t="s">
        <v>2246</v>
      </c>
      <c r="T38" s="281" t="s">
        <v>2246</v>
      </c>
      <c r="U38" s="281" t="s">
        <v>2246</v>
      </c>
      <c r="V38" s="277"/>
      <c r="W38" s="281" t="s">
        <v>2246</v>
      </c>
      <c r="X38" s="277"/>
      <c r="Y38" s="281" t="s">
        <v>2246</v>
      </c>
      <c r="Z38" s="1427">
        <f>COUNTA(N39:Y39)/COUNTA(N38:Y38)</f>
        <v>0.42857142857142855</v>
      </c>
      <c r="AA38" s="1492"/>
    </row>
    <row r="39" spans="1:27" ht="90" customHeight="1" thickBot="1" x14ac:dyDescent="0.3">
      <c r="A39" s="1469"/>
      <c r="B39" s="1470"/>
      <c r="C39" s="1435"/>
      <c r="D39" s="1494"/>
      <c r="E39" s="1494"/>
      <c r="F39" s="1494"/>
      <c r="G39" s="1494"/>
      <c r="H39" s="1494"/>
      <c r="I39" s="1494"/>
      <c r="J39" s="1494"/>
      <c r="K39" s="1499"/>
      <c r="L39" s="1500"/>
      <c r="M39" s="283" t="s">
        <v>2240</v>
      </c>
      <c r="N39" s="284"/>
      <c r="O39" s="284" t="s">
        <v>2240</v>
      </c>
      <c r="P39" s="284"/>
      <c r="Q39" s="284" t="s">
        <v>2240</v>
      </c>
      <c r="R39" s="284"/>
      <c r="S39" s="284" t="s">
        <v>2240</v>
      </c>
      <c r="T39" s="284"/>
      <c r="U39" s="284"/>
      <c r="V39" s="284"/>
      <c r="W39" s="284"/>
      <c r="X39" s="284"/>
      <c r="Y39" s="308"/>
      <c r="Z39" s="1428"/>
      <c r="AA39" s="1492"/>
    </row>
    <row r="40" spans="1:27" ht="36" customHeight="1" thickBot="1" x14ac:dyDescent="0.3">
      <c r="A40" s="1469"/>
      <c r="B40" s="1470"/>
      <c r="C40" s="1435"/>
      <c r="D40" s="1494" t="s">
        <v>2289</v>
      </c>
      <c r="E40" s="1494"/>
      <c r="F40" s="1494"/>
      <c r="G40" s="1494"/>
      <c r="H40" s="1494"/>
      <c r="I40" s="1494"/>
      <c r="J40" s="1494"/>
      <c r="K40" s="1503" t="s">
        <v>2290</v>
      </c>
      <c r="L40" s="1497" t="s">
        <v>2238</v>
      </c>
      <c r="M40" s="276" t="s">
        <v>2239</v>
      </c>
      <c r="N40" s="281"/>
      <c r="O40" s="281"/>
      <c r="P40" s="281"/>
      <c r="Q40" s="281" t="s">
        <v>2239</v>
      </c>
      <c r="R40" s="277"/>
      <c r="S40" s="277"/>
      <c r="T40" s="281"/>
      <c r="U40" s="281"/>
      <c r="V40" s="277"/>
      <c r="W40" s="281"/>
      <c r="X40" s="277" t="s">
        <v>2246</v>
      </c>
      <c r="Y40" s="281"/>
      <c r="Z40" s="1427">
        <f>COUNTA(N41:Y41)/COUNTA(N40:Y40)</f>
        <v>0.5</v>
      </c>
      <c r="AA40" s="1492"/>
    </row>
    <row r="41" spans="1:27" ht="51.75" customHeight="1" thickBot="1" x14ac:dyDescent="0.3">
      <c r="A41" s="1469"/>
      <c r="B41" s="1470"/>
      <c r="C41" s="1435"/>
      <c r="D41" s="1494"/>
      <c r="E41" s="1494"/>
      <c r="F41" s="1494"/>
      <c r="G41" s="1494"/>
      <c r="H41" s="1494"/>
      <c r="I41" s="1494"/>
      <c r="J41" s="1494"/>
      <c r="K41" s="1503"/>
      <c r="L41" s="1497"/>
      <c r="M41" s="273" t="s">
        <v>2240</v>
      </c>
      <c r="N41" s="280"/>
      <c r="O41" s="280"/>
      <c r="P41" s="280"/>
      <c r="Q41" s="280" t="s">
        <v>2240</v>
      </c>
      <c r="R41" s="280"/>
      <c r="S41" s="280"/>
      <c r="T41" s="280"/>
      <c r="U41" s="280"/>
      <c r="V41" s="280"/>
      <c r="W41" s="280"/>
      <c r="X41" s="280"/>
      <c r="Y41" s="306"/>
      <c r="Z41" s="1428"/>
      <c r="AA41" s="1492"/>
    </row>
    <row r="42" spans="1:27" ht="51.75" customHeight="1" thickBot="1" x14ac:dyDescent="0.3">
      <c r="A42" s="1469"/>
      <c r="B42" s="1470"/>
      <c r="C42" s="1435"/>
      <c r="D42" s="1478" t="s">
        <v>2291</v>
      </c>
      <c r="E42" s="1478"/>
      <c r="F42" s="1478"/>
      <c r="G42" s="1478"/>
      <c r="H42" s="1478"/>
      <c r="I42" s="1478"/>
      <c r="J42" s="1478"/>
      <c r="K42" s="1486" t="s">
        <v>2292</v>
      </c>
      <c r="L42" s="1488" t="s">
        <v>2252</v>
      </c>
      <c r="M42" s="276" t="s">
        <v>2239</v>
      </c>
      <c r="N42" s="281"/>
      <c r="O42" s="281"/>
      <c r="P42" s="281"/>
      <c r="Q42" s="281"/>
      <c r="R42" s="277" t="s">
        <v>2246</v>
      </c>
      <c r="S42" s="277"/>
      <c r="T42" s="281"/>
      <c r="U42" s="281"/>
      <c r="V42" s="277"/>
      <c r="W42" s="281"/>
      <c r="X42" s="277" t="s">
        <v>2246</v>
      </c>
      <c r="Y42" s="281"/>
      <c r="Z42" s="1427">
        <f>COUNTA(N43:Y43)/COUNTA(N42:Y42)</f>
        <v>0</v>
      </c>
      <c r="AA42" s="1492"/>
    </row>
    <row r="43" spans="1:27" ht="51.75" customHeight="1" thickBot="1" x14ac:dyDescent="0.3">
      <c r="A43" s="1469"/>
      <c r="B43" s="1470"/>
      <c r="C43" s="1435"/>
      <c r="D43" s="1479"/>
      <c r="E43" s="1479"/>
      <c r="F43" s="1479"/>
      <c r="G43" s="1479"/>
      <c r="H43" s="1479"/>
      <c r="I43" s="1479"/>
      <c r="J43" s="1479"/>
      <c r="K43" s="1487"/>
      <c r="L43" s="1489"/>
      <c r="M43" s="273" t="s">
        <v>2240</v>
      </c>
      <c r="N43" s="280"/>
      <c r="O43" s="280"/>
      <c r="P43" s="280"/>
      <c r="Q43" s="280"/>
      <c r="R43" s="280"/>
      <c r="S43" s="280"/>
      <c r="T43" s="280"/>
      <c r="U43" s="280"/>
      <c r="V43" s="280"/>
      <c r="W43" s="280"/>
      <c r="X43" s="280"/>
      <c r="Y43" s="306"/>
      <c r="Z43" s="1428"/>
      <c r="AA43" s="1492"/>
    </row>
    <row r="44" spans="1:27" ht="53.25" customHeight="1" thickBot="1" x14ac:dyDescent="0.3">
      <c r="A44" s="1469"/>
      <c r="B44" s="1470"/>
      <c r="C44" s="1435"/>
      <c r="D44" s="1458" t="s">
        <v>2293</v>
      </c>
      <c r="E44" s="1459"/>
      <c r="F44" s="1459"/>
      <c r="G44" s="1459"/>
      <c r="H44" s="1459"/>
      <c r="I44" s="1459"/>
      <c r="J44" s="1459"/>
      <c r="K44" s="1440" t="s">
        <v>2294</v>
      </c>
      <c r="L44" s="1449" t="s">
        <v>2238</v>
      </c>
      <c r="M44" s="276" t="s">
        <v>2239</v>
      </c>
      <c r="N44" s="277"/>
      <c r="O44" s="277"/>
      <c r="P44" s="277"/>
      <c r="Q44" s="277"/>
      <c r="R44" s="277"/>
      <c r="S44" s="277"/>
      <c r="T44" s="277"/>
      <c r="U44" s="277"/>
      <c r="V44" s="277" t="s">
        <v>2246</v>
      </c>
      <c r="W44" s="277" t="s">
        <v>2246</v>
      </c>
      <c r="X44" s="277" t="s">
        <v>2246</v>
      </c>
      <c r="Y44" s="277"/>
      <c r="Z44" s="1427">
        <f>COUNTA(N45:Y45)/COUNTA(N44:Y44)</f>
        <v>0</v>
      </c>
      <c r="AA44" s="1492"/>
    </row>
    <row r="45" spans="1:27" ht="43.5" customHeight="1" thickBot="1" x14ac:dyDescent="0.3">
      <c r="A45" s="1469"/>
      <c r="B45" s="1470"/>
      <c r="C45" s="1435"/>
      <c r="D45" s="1460"/>
      <c r="E45" s="1461"/>
      <c r="F45" s="1461"/>
      <c r="G45" s="1461"/>
      <c r="H45" s="1461"/>
      <c r="I45" s="1461"/>
      <c r="J45" s="1461"/>
      <c r="K45" s="1441"/>
      <c r="L45" s="1449"/>
      <c r="M45" s="273" t="s">
        <v>2240</v>
      </c>
      <c r="N45" s="280"/>
      <c r="O45" s="280"/>
      <c r="P45" s="280"/>
      <c r="Q45" s="280"/>
      <c r="R45" s="280"/>
      <c r="S45" s="280"/>
      <c r="T45" s="280"/>
      <c r="U45" s="306"/>
      <c r="V45" s="280"/>
      <c r="W45" s="280"/>
      <c r="X45" s="280"/>
      <c r="Y45" s="306"/>
      <c r="Z45" s="1428"/>
      <c r="AA45" s="1492"/>
    </row>
    <row r="46" spans="1:27" ht="58.5" customHeight="1" thickBot="1" x14ac:dyDescent="0.3">
      <c r="A46" s="1469"/>
      <c r="B46" s="1470"/>
      <c r="C46" s="1472" t="s">
        <v>2295</v>
      </c>
      <c r="D46" s="1436" t="s">
        <v>2296</v>
      </c>
      <c r="E46" s="1437"/>
      <c r="F46" s="1437"/>
      <c r="G46" s="1437"/>
      <c r="H46" s="1437"/>
      <c r="I46" s="1437"/>
      <c r="J46" s="1437"/>
      <c r="K46" s="1440" t="s">
        <v>2297</v>
      </c>
      <c r="L46" s="1442" t="s">
        <v>2238</v>
      </c>
      <c r="M46" s="276" t="s">
        <v>2239</v>
      </c>
      <c r="N46" s="277"/>
      <c r="O46" s="277"/>
      <c r="P46" s="277"/>
      <c r="Q46" s="277"/>
      <c r="R46" s="277" t="s">
        <v>2246</v>
      </c>
      <c r="S46" s="277"/>
      <c r="T46" s="277"/>
      <c r="U46" s="277"/>
      <c r="V46" s="277"/>
      <c r="W46" s="277"/>
      <c r="X46" s="277" t="s">
        <v>2246</v>
      </c>
      <c r="Y46" s="277"/>
      <c r="Z46" s="1427">
        <f>COUNTA(N47:Y47)/COUNTA(N46:Y46)</f>
        <v>0</v>
      </c>
      <c r="AA46" s="1492"/>
    </row>
    <row r="47" spans="1:27" ht="58.5" customHeight="1" thickBot="1" x14ac:dyDescent="0.3">
      <c r="A47" s="1469"/>
      <c r="B47" s="1470"/>
      <c r="C47" s="1473"/>
      <c r="D47" s="1438"/>
      <c r="E47" s="1439"/>
      <c r="F47" s="1439"/>
      <c r="G47" s="1439"/>
      <c r="H47" s="1439"/>
      <c r="I47" s="1439"/>
      <c r="J47" s="1439"/>
      <c r="K47" s="1441"/>
      <c r="L47" s="1443"/>
      <c r="M47" s="273" t="s">
        <v>2240</v>
      </c>
      <c r="N47" s="280"/>
      <c r="O47" s="280"/>
      <c r="P47" s="280"/>
      <c r="Q47" s="280"/>
      <c r="R47" s="280"/>
      <c r="S47" s="280"/>
      <c r="T47" s="306"/>
      <c r="U47" s="306"/>
      <c r="V47" s="306"/>
      <c r="W47" s="306"/>
      <c r="X47" s="306"/>
      <c r="Y47" s="306"/>
      <c r="Z47" s="1428"/>
      <c r="AA47" s="1492"/>
    </row>
    <row r="48" spans="1:27" ht="58.5" customHeight="1" thickBot="1" x14ac:dyDescent="0.3">
      <c r="A48" s="1469"/>
      <c r="B48" s="1470"/>
      <c r="C48" s="1473"/>
      <c r="D48" s="1436" t="s">
        <v>2298</v>
      </c>
      <c r="E48" s="1437"/>
      <c r="F48" s="1437"/>
      <c r="G48" s="1437"/>
      <c r="H48" s="1437"/>
      <c r="I48" s="1437"/>
      <c r="J48" s="1437"/>
      <c r="K48" s="1440" t="s">
        <v>2299</v>
      </c>
      <c r="L48" s="1442" t="s">
        <v>2238</v>
      </c>
      <c r="M48" s="276" t="s">
        <v>2239</v>
      </c>
      <c r="N48" s="277"/>
      <c r="O48" s="277"/>
      <c r="P48" s="277"/>
      <c r="Q48" s="277" t="s">
        <v>2246</v>
      </c>
      <c r="R48" s="277" t="s">
        <v>2246</v>
      </c>
      <c r="S48" s="277" t="s">
        <v>2246</v>
      </c>
      <c r="T48" s="277" t="s">
        <v>2246</v>
      </c>
      <c r="U48" s="277" t="s">
        <v>2246</v>
      </c>
      <c r="V48" s="277" t="s">
        <v>2246</v>
      </c>
      <c r="W48" s="277" t="s">
        <v>2246</v>
      </c>
      <c r="X48" s="277" t="s">
        <v>2246</v>
      </c>
      <c r="Y48" s="277" t="s">
        <v>2246</v>
      </c>
      <c r="Z48" s="1427">
        <f>COUNTA(N49:Y49)/COUNTA(N48:Y48)</f>
        <v>0</v>
      </c>
      <c r="AA48" s="1492"/>
    </row>
    <row r="49" spans="1:27" ht="75" customHeight="1" thickBot="1" x14ac:dyDescent="0.3">
      <c r="A49" s="1469"/>
      <c r="B49" s="1470"/>
      <c r="C49" s="1474"/>
      <c r="D49" s="1438"/>
      <c r="E49" s="1439"/>
      <c r="F49" s="1439"/>
      <c r="G49" s="1439"/>
      <c r="H49" s="1439"/>
      <c r="I49" s="1439"/>
      <c r="J49" s="1439"/>
      <c r="K49" s="1441"/>
      <c r="L49" s="1443"/>
      <c r="M49" s="273" t="s">
        <v>2240</v>
      </c>
      <c r="N49" s="274"/>
      <c r="O49" s="274"/>
      <c r="P49" s="274"/>
      <c r="Q49" s="274"/>
      <c r="R49" s="274"/>
      <c r="S49" s="274"/>
      <c r="T49" s="305"/>
      <c r="U49" s="305"/>
      <c r="V49" s="305"/>
      <c r="W49" s="305"/>
      <c r="X49" s="305"/>
      <c r="Y49" s="305"/>
      <c r="Z49" s="1428"/>
      <c r="AA49" s="1492"/>
    </row>
    <row r="50" spans="1:27" ht="67.5" customHeight="1" thickBot="1" x14ac:dyDescent="0.3">
      <c r="A50" s="1469"/>
      <c r="B50" s="1470"/>
      <c r="C50" s="1471" t="s">
        <v>2300</v>
      </c>
      <c r="D50" s="1436" t="s">
        <v>2301</v>
      </c>
      <c r="E50" s="1437"/>
      <c r="F50" s="1437"/>
      <c r="G50" s="1437"/>
      <c r="H50" s="1437"/>
      <c r="I50" s="1437"/>
      <c r="J50" s="1437"/>
      <c r="K50" s="1475" t="s">
        <v>2302</v>
      </c>
      <c r="L50" s="1442" t="s">
        <v>2238</v>
      </c>
      <c r="M50" s="276" t="s">
        <v>2239</v>
      </c>
      <c r="N50" s="277"/>
      <c r="O50" s="277"/>
      <c r="P50" s="277"/>
      <c r="Q50" s="277" t="s">
        <v>2246</v>
      </c>
      <c r="R50" s="277"/>
      <c r="S50" s="277"/>
      <c r="T50" s="309"/>
      <c r="U50" s="309" t="s">
        <v>2246</v>
      </c>
      <c r="V50" s="309"/>
      <c r="W50" s="309"/>
      <c r="X50" s="309"/>
      <c r="Y50" s="309" t="s">
        <v>2246</v>
      </c>
      <c r="Z50" s="1427">
        <f>COUNTA(N51:Y51)/COUNTA(N50:Y50)</f>
        <v>0.33333333333333331</v>
      </c>
      <c r="AA50" s="1492"/>
    </row>
    <row r="51" spans="1:27" ht="67.5" customHeight="1" thickBot="1" x14ac:dyDescent="0.3">
      <c r="A51" s="1469"/>
      <c r="B51" s="1470"/>
      <c r="C51" s="1435"/>
      <c r="D51" s="1438"/>
      <c r="E51" s="1439"/>
      <c r="F51" s="1439"/>
      <c r="G51" s="1439"/>
      <c r="H51" s="1439"/>
      <c r="I51" s="1439"/>
      <c r="J51" s="1439"/>
      <c r="K51" s="1441"/>
      <c r="L51" s="1443"/>
      <c r="M51" s="273" t="s">
        <v>2240</v>
      </c>
      <c r="N51" s="274"/>
      <c r="O51" s="274"/>
      <c r="P51" s="274"/>
      <c r="Q51" s="274" t="s">
        <v>2240</v>
      </c>
      <c r="R51" s="274"/>
      <c r="S51" s="274"/>
      <c r="T51" s="305"/>
      <c r="U51" s="305"/>
      <c r="V51" s="305"/>
      <c r="W51" s="305"/>
      <c r="X51" s="305"/>
      <c r="Y51" s="305"/>
      <c r="Z51" s="1428"/>
      <c r="AA51" s="1492"/>
    </row>
    <row r="52" spans="1:27" ht="43.5" customHeight="1" thickBot="1" x14ac:dyDescent="0.3">
      <c r="A52" s="1469"/>
      <c r="B52" s="1470"/>
      <c r="C52" s="1444" t="s">
        <v>2303</v>
      </c>
      <c r="D52" s="1436" t="s">
        <v>2304</v>
      </c>
      <c r="E52" s="1437"/>
      <c r="F52" s="1437"/>
      <c r="G52" s="1437"/>
      <c r="H52" s="1437"/>
      <c r="I52" s="1437"/>
      <c r="J52" s="1437"/>
      <c r="K52" s="1476" t="s">
        <v>2305</v>
      </c>
      <c r="L52" s="1462" t="s">
        <v>2238</v>
      </c>
      <c r="M52" s="276" t="s">
        <v>2239</v>
      </c>
      <c r="N52" s="277"/>
      <c r="O52" s="277"/>
      <c r="P52" s="277"/>
      <c r="Q52" s="277" t="s">
        <v>2246</v>
      </c>
      <c r="R52" s="277"/>
      <c r="S52" s="277" t="s">
        <v>2246</v>
      </c>
      <c r="T52" s="309"/>
      <c r="U52" s="277" t="s">
        <v>2246</v>
      </c>
      <c r="V52" s="309"/>
      <c r="W52" s="277" t="s">
        <v>2239</v>
      </c>
      <c r="X52" s="277"/>
      <c r="Y52" s="277" t="s">
        <v>2246</v>
      </c>
      <c r="Z52" s="1427">
        <f>COUNTA(N53:Y53)/COUNTA(N52:Y52)</f>
        <v>0.4</v>
      </c>
      <c r="AA52" s="1492"/>
    </row>
    <row r="53" spans="1:27" ht="43.5" customHeight="1" thickBot="1" x14ac:dyDescent="0.3">
      <c r="A53" s="1469"/>
      <c r="B53" s="1470"/>
      <c r="C53" s="1445"/>
      <c r="D53" s="1438"/>
      <c r="E53" s="1439"/>
      <c r="F53" s="1439"/>
      <c r="G53" s="1439"/>
      <c r="H53" s="1439"/>
      <c r="I53" s="1439"/>
      <c r="J53" s="1439"/>
      <c r="K53" s="1477"/>
      <c r="L53" s="1463"/>
      <c r="M53" s="273" t="s">
        <v>2240</v>
      </c>
      <c r="N53" s="274"/>
      <c r="O53" s="274"/>
      <c r="P53" s="274"/>
      <c r="Q53" s="274" t="s">
        <v>2240</v>
      </c>
      <c r="R53" s="274"/>
      <c r="S53" s="274" t="s">
        <v>2240</v>
      </c>
      <c r="T53" s="305"/>
      <c r="U53" s="305"/>
      <c r="V53" s="305"/>
      <c r="W53" s="305"/>
      <c r="X53" s="305"/>
      <c r="Y53" s="305"/>
      <c r="Z53" s="1428"/>
      <c r="AA53" s="1492"/>
    </row>
    <row r="54" spans="1:27" ht="43.5" customHeight="1" thickBot="1" x14ac:dyDescent="0.3">
      <c r="A54" s="1469"/>
      <c r="B54" s="1470"/>
      <c r="C54" s="1445"/>
      <c r="D54" s="1458" t="s">
        <v>2306</v>
      </c>
      <c r="E54" s="1459"/>
      <c r="F54" s="1459"/>
      <c r="G54" s="1459"/>
      <c r="H54" s="1459"/>
      <c r="I54" s="1459"/>
      <c r="J54" s="1459"/>
      <c r="K54" s="1440" t="s">
        <v>2307</v>
      </c>
      <c r="L54" s="1462" t="s">
        <v>2238</v>
      </c>
      <c r="M54" s="276" t="s">
        <v>2239</v>
      </c>
      <c r="N54" s="277"/>
      <c r="O54" s="277"/>
      <c r="P54" s="277"/>
      <c r="Q54" s="277" t="s">
        <v>2239</v>
      </c>
      <c r="R54" s="277"/>
      <c r="S54" s="285" t="s">
        <v>2246</v>
      </c>
      <c r="T54" s="277"/>
      <c r="U54" s="277" t="s">
        <v>2246</v>
      </c>
      <c r="V54" s="277"/>
      <c r="W54" s="277" t="s">
        <v>2239</v>
      </c>
      <c r="X54" s="277"/>
      <c r="Y54" s="285" t="s">
        <v>2246</v>
      </c>
      <c r="Z54" s="1427">
        <f>COUNTA(N55:Y55)/COUNTA(N54:Y54)</f>
        <v>0.2</v>
      </c>
      <c r="AA54" s="1492"/>
    </row>
    <row r="55" spans="1:27" ht="43.5" customHeight="1" thickBot="1" x14ac:dyDescent="0.3">
      <c r="A55" s="1469"/>
      <c r="B55" s="1470"/>
      <c r="C55" s="1445"/>
      <c r="D55" s="1460"/>
      <c r="E55" s="1461"/>
      <c r="F55" s="1461"/>
      <c r="G55" s="1461"/>
      <c r="H55" s="1461"/>
      <c r="I55" s="1461"/>
      <c r="J55" s="1461"/>
      <c r="K55" s="1441"/>
      <c r="L55" s="1463"/>
      <c r="M55" s="273" t="s">
        <v>2240</v>
      </c>
      <c r="N55" s="280"/>
      <c r="O55" s="280"/>
      <c r="P55" s="280"/>
      <c r="Q55" s="280"/>
      <c r="R55" s="280"/>
      <c r="S55" s="280" t="s">
        <v>2240</v>
      </c>
      <c r="T55" s="280"/>
      <c r="U55" s="280"/>
      <c r="V55" s="280"/>
      <c r="W55" s="280"/>
      <c r="X55" s="280"/>
      <c r="Y55" s="280"/>
      <c r="Z55" s="1428"/>
      <c r="AA55" s="1492"/>
    </row>
    <row r="56" spans="1:27" ht="43.5" customHeight="1" thickBot="1" x14ac:dyDescent="0.3">
      <c r="A56" s="1469"/>
      <c r="B56" s="1470"/>
      <c r="C56" s="1445"/>
      <c r="D56" s="1482" t="s">
        <v>2308</v>
      </c>
      <c r="E56" s="1483"/>
      <c r="F56" s="1483"/>
      <c r="G56" s="1483"/>
      <c r="H56" s="1483"/>
      <c r="I56" s="1483"/>
      <c r="J56" s="1483"/>
      <c r="K56" s="1440" t="s">
        <v>2309</v>
      </c>
      <c r="L56" s="1462" t="s">
        <v>2238</v>
      </c>
      <c r="M56" s="276" t="s">
        <v>2239</v>
      </c>
      <c r="N56" s="277"/>
      <c r="O56" s="277"/>
      <c r="P56" s="277"/>
      <c r="Q56" s="277"/>
      <c r="R56" s="277"/>
      <c r="S56" s="277" t="s">
        <v>2246</v>
      </c>
      <c r="T56" s="277"/>
      <c r="U56" s="277"/>
      <c r="V56" s="309"/>
      <c r="W56" s="277"/>
      <c r="X56" s="277"/>
      <c r="Y56" s="277" t="s">
        <v>2246</v>
      </c>
      <c r="Z56" s="1427">
        <f>COUNTA(N57:Y57)/COUNTA(N56:Y56)</f>
        <v>0.5</v>
      </c>
      <c r="AA56" s="1492"/>
    </row>
    <row r="57" spans="1:27" ht="43.5" customHeight="1" thickBot="1" x14ac:dyDescent="0.3">
      <c r="A57" s="1469"/>
      <c r="B57" s="1470"/>
      <c r="C57" s="1445"/>
      <c r="D57" s="1484"/>
      <c r="E57" s="1481"/>
      <c r="F57" s="1481"/>
      <c r="G57" s="1481"/>
      <c r="H57" s="1481"/>
      <c r="I57" s="1481"/>
      <c r="J57" s="1481"/>
      <c r="K57" s="1475"/>
      <c r="L57" s="1485"/>
      <c r="M57" s="273" t="s">
        <v>2240</v>
      </c>
      <c r="N57" s="274"/>
      <c r="O57" s="274"/>
      <c r="P57" s="274"/>
      <c r="Q57" s="274"/>
      <c r="R57" s="274"/>
      <c r="S57" s="274" t="s">
        <v>2240</v>
      </c>
      <c r="T57" s="305"/>
      <c r="U57" s="305"/>
      <c r="V57" s="305"/>
      <c r="W57" s="305"/>
      <c r="X57" s="305"/>
      <c r="Y57" s="305"/>
      <c r="Z57" s="1428"/>
      <c r="AA57" s="1492"/>
    </row>
    <row r="58" spans="1:27" ht="43.5" customHeight="1" thickBot="1" x14ac:dyDescent="0.3">
      <c r="A58" s="1469"/>
      <c r="B58" s="1470"/>
      <c r="C58" s="1445"/>
      <c r="D58" s="1467" t="s">
        <v>2310</v>
      </c>
      <c r="E58" s="1467"/>
      <c r="F58" s="1467"/>
      <c r="G58" s="1467"/>
      <c r="H58" s="1467"/>
      <c r="I58" s="1467"/>
      <c r="J58" s="1467"/>
      <c r="K58" s="1468" t="s">
        <v>2311</v>
      </c>
      <c r="L58" s="1449" t="s">
        <v>2238</v>
      </c>
      <c r="M58" s="276" t="s">
        <v>2239</v>
      </c>
      <c r="N58" s="277"/>
      <c r="O58" s="277"/>
      <c r="P58" s="277"/>
      <c r="Q58" s="277"/>
      <c r="R58" s="277"/>
      <c r="S58" s="277" t="s">
        <v>2246</v>
      </c>
      <c r="T58" s="277"/>
      <c r="U58" s="277"/>
      <c r="V58" s="309"/>
      <c r="W58" s="277"/>
      <c r="X58" s="277"/>
      <c r="Y58" s="277" t="s">
        <v>2246</v>
      </c>
      <c r="Z58" s="1427">
        <f>COUNTA(N59:Y59)/COUNTA(N58:Y58)</f>
        <v>0</v>
      </c>
      <c r="AA58" s="1492"/>
    </row>
    <row r="59" spans="1:27" ht="43.5" customHeight="1" thickBot="1" x14ac:dyDescent="0.3">
      <c r="A59" s="1469"/>
      <c r="B59" s="1470"/>
      <c r="C59" s="1445"/>
      <c r="D59" s="1481"/>
      <c r="E59" s="1481"/>
      <c r="F59" s="1481"/>
      <c r="G59" s="1481"/>
      <c r="H59" s="1481"/>
      <c r="I59" s="1481"/>
      <c r="J59" s="1481"/>
      <c r="K59" s="1456"/>
      <c r="L59" s="1449"/>
      <c r="M59" s="286" t="s">
        <v>2240</v>
      </c>
      <c r="N59" s="274"/>
      <c r="O59" s="274"/>
      <c r="P59" s="274"/>
      <c r="Q59" s="274"/>
      <c r="R59" s="274"/>
      <c r="S59" s="274"/>
      <c r="T59" s="305"/>
      <c r="U59" s="305"/>
      <c r="V59" s="305"/>
      <c r="W59" s="305"/>
      <c r="X59" s="305"/>
      <c r="Y59" s="305"/>
      <c r="Z59" s="1428"/>
      <c r="AA59" s="1492"/>
    </row>
    <row r="60" spans="1:27" ht="43.5" customHeight="1" thickBot="1" x14ac:dyDescent="0.3">
      <c r="A60" s="1469"/>
      <c r="B60" s="1470"/>
      <c r="C60" s="1445"/>
      <c r="D60" s="1450" t="s">
        <v>2312</v>
      </c>
      <c r="E60" s="1451"/>
      <c r="F60" s="1451"/>
      <c r="G60" s="1451"/>
      <c r="H60" s="1451"/>
      <c r="I60" s="1451"/>
      <c r="J60" s="1452"/>
      <c r="K60" s="1456" t="s">
        <v>2313</v>
      </c>
      <c r="L60" s="1449" t="s">
        <v>2238</v>
      </c>
      <c r="M60" s="276" t="s">
        <v>2239</v>
      </c>
      <c r="N60" s="277"/>
      <c r="O60" s="277"/>
      <c r="P60" s="277"/>
      <c r="Q60" s="277"/>
      <c r="R60" s="277"/>
      <c r="S60" s="277" t="s">
        <v>2246</v>
      </c>
      <c r="T60" s="277"/>
      <c r="U60" s="277"/>
      <c r="V60" s="309" t="s">
        <v>2246</v>
      </c>
      <c r="W60" s="277"/>
      <c r="X60" s="277" t="s">
        <v>2246</v>
      </c>
      <c r="Y60" s="277"/>
      <c r="Z60" s="1427">
        <f>COUNTA(N61:Y61)/COUNTA(N60:Y60)</f>
        <v>0</v>
      </c>
      <c r="AA60" s="1492"/>
    </row>
    <row r="61" spans="1:27" ht="43.5" customHeight="1" thickBot="1" x14ac:dyDescent="0.3">
      <c r="A61" s="1469"/>
      <c r="B61" s="1470"/>
      <c r="C61" s="1445"/>
      <c r="D61" s="1453"/>
      <c r="E61" s="1454"/>
      <c r="F61" s="1454"/>
      <c r="G61" s="1454"/>
      <c r="H61" s="1454"/>
      <c r="I61" s="1454"/>
      <c r="J61" s="1455"/>
      <c r="K61" s="1457"/>
      <c r="L61" s="1449"/>
      <c r="M61" s="286" t="s">
        <v>2240</v>
      </c>
      <c r="N61" s="274"/>
      <c r="O61" s="274"/>
      <c r="P61" s="274"/>
      <c r="Q61" s="274"/>
      <c r="R61" s="274"/>
      <c r="S61" s="274"/>
      <c r="T61" s="305"/>
      <c r="U61" s="305"/>
      <c r="V61" s="305"/>
      <c r="W61" s="305"/>
      <c r="X61" s="305"/>
      <c r="Y61" s="305"/>
      <c r="Z61" s="1428"/>
      <c r="AA61" s="1492"/>
    </row>
    <row r="62" spans="1:27" ht="43.5" customHeight="1" thickBot="1" x14ac:dyDescent="0.3">
      <c r="A62" s="1469"/>
      <c r="B62" s="1470"/>
      <c r="C62" s="1445"/>
      <c r="D62" s="1467" t="s">
        <v>2314</v>
      </c>
      <c r="E62" s="1467"/>
      <c r="F62" s="1467"/>
      <c r="G62" s="1467"/>
      <c r="H62" s="1467"/>
      <c r="I62" s="1467"/>
      <c r="J62" s="1467"/>
      <c r="K62" s="1468" t="s">
        <v>2315</v>
      </c>
      <c r="L62" s="1449" t="s">
        <v>2238</v>
      </c>
      <c r="M62" s="287" t="s">
        <v>2239</v>
      </c>
      <c r="N62" s="277"/>
      <c r="O62" s="277"/>
      <c r="P62" s="277"/>
      <c r="Q62" s="277"/>
      <c r="R62" s="277"/>
      <c r="S62" s="277"/>
      <c r="T62" s="277"/>
      <c r="U62" s="277"/>
      <c r="V62" s="309" t="s">
        <v>2246</v>
      </c>
      <c r="W62" s="277" t="s">
        <v>2246</v>
      </c>
      <c r="X62" s="277"/>
      <c r="Y62" s="277"/>
      <c r="Z62" s="1427">
        <f>COUNTA(N63:Y63)/COUNTA(N62:Y62)</f>
        <v>0</v>
      </c>
      <c r="AA62" s="1492"/>
    </row>
    <row r="63" spans="1:27" ht="43.5" customHeight="1" thickBot="1" x14ac:dyDescent="0.3">
      <c r="A63" s="1469"/>
      <c r="B63" s="1470"/>
      <c r="C63" s="1445"/>
      <c r="D63" s="1467"/>
      <c r="E63" s="1467"/>
      <c r="F63" s="1467"/>
      <c r="G63" s="1467"/>
      <c r="H63" s="1467"/>
      <c r="I63" s="1467"/>
      <c r="J63" s="1467"/>
      <c r="K63" s="1468"/>
      <c r="L63" s="1449"/>
      <c r="M63" s="288" t="s">
        <v>2240</v>
      </c>
      <c r="N63" s="274"/>
      <c r="O63" s="274"/>
      <c r="P63" s="274"/>
      <c r="Q63" s="274"/>
      <c r="R63" s="274"/>
      <c r="S63" s="274"/>
      <c r="T63" s="305"/>
      <c r="U63" s="305"/>
      <c r="V63" s="305"/>
      <c r="W63" s="305"/>
      <c r="X63" s="305"/>
      <c r="Y63" s="305"/>
      <c r="Z63" s="1428"/>
      <c r="AA63" s="1492"/>
    </row>
    <row r="64" spans="1:27" ht="43.5" customHeight="1" thickBot="1" x14ac:dyDescent="0.3">
      <c r="A64" s="1469"/>
      <c r="B64" s="1470"/>
      <c r="C64" s="1445"/>
      <c r="D64" s="1478" t="s">
        <v>2316</v>
      </c>
      <c r="E64" s="1478"/>
      <c r="F64" s="1478"/>
      <c r="G64" s="1478"/>
      <c r="H64" s="1478"/>
      <c r="I64" s="1478"/>
      <c r="J64" s="1478"/>
      <c r="K64" s="1480" t="s">
        <v>2317</v>
      </c>
      <c r="L64" s="1449" t="s">
        <v>2238</v>
      </c>
      <c r="M64" s="276" t="s">
        <v>2239</v>
      </c>
      <c r="N64" s="277"/>
      <c r="O64" s="277"/>
      <c r="P64" s="277"/>
      <c r="Q64" s="277"/>
      <c r="R64" s="277"/>
      <c r="S64" s="277" t="s">
        <v>2246</v>
      </c>
      <c r="T64" s="277"/>
      <c r="U64" s="277"/>
      <c r="V64" s="277"/>
      <c r="W64" s="277"/>
      <c r="X64" s="277"/>
      <c r="Y64" s="277" t="s">
        <v>2246</v>
      </c>
      <c r="Z64" s="1427">
        <f>COUNTA(N65:Y65)/COUNTA(N64:Y64)</f>
        <v>0.5</v>
      </c>
      <c r="AA64" s="1492"/>
    </row>
    <row r="65" spans="1:27" ht="43.5" customHeight="1" thickBot="1" x14ac:dyDescent="0.3">
      <c r="A65" s="1469"/>
      <c r="B65" s="1470"/>
      <c r="C65" s="1446"/>
      <c r="D65" s="1479"/>
      <c r="E65" s="1479"/>
      <c r="F65" s="1479"/>
      <c r="G65" s="1479"/>
      <c r="H65" s="1479"/>
      <c r="I65" s="1479"/>
      <c r="J65" s="1479"/>
      <c r="K65" s="1390"/>
      <c r="L65" s="1449"/>
      <c r="M65" s="273" t="s">
        <v>2240</v>
      </c>
      <c r="N65" s="280"/>
      <c r="O65" s="280"/>
      <c r="P65" s="280"/>
      <c r="Q65" s="280"/>
      <c r="R65" s="280"/>
      <c r="S65" s="280" t="s">
        <v>2240</v>
      </c>
      <c r="T65" s="280"/>
      <c r="U65" s="280"/>
      <c r="V65" s="280"/>
      <c r="W65" s="280"/>
      <c r="X65" s="280"/>
      <c r="Y65" s="280"/>
      <c r="Z65" s="1428"/>
      <c r="AA65" s="1493"/>
    </row>
    <row r="66" spans="1:27" ht="43.5" customHeight="1" thickBot="1" x14ac:dyDescent="0.3">
      <c r="A66" s="1464" t="s">
        <v>2318</v>
      </c>
      <c r="B66" s="1465" t="s">
        <v>2319</v>
      </c>
      <c r="C66" s="1466" t="s">
        <v>2320</v>
      </c>
      <c r="D66" s="1436" t="s">
        <v>2321</v>
      </c>
      <c r="E66" s="1437"/>
      <c r="F66" s="1437"/>
      <c r="G66" s="1437"/>
      <c r="H66" s="1437"/>
      <c r="I66" s="1437"/>
      <c r="J66" s="1437"/>
      <c r="K66" s="1440" t="s">
        <v>2322</v>
      </c>
      <c r="L66" s="1442" t="s">
        <v>2238</v>
      </c>
      <c r="M66" s="270" t="s">
        <v>2239</v>
      </c>
      <c r="N66" s="279"/>
      <c r="O66" s="279"/>
      <c r="P66" s="271"/>
      <c r="Q66" s="279" t="s">
        <v>2246</v>
      </c>
      <c r="R66" s="279" t="s">
        <v>2246</v>
      </c>
      <c r="S66" s="271" t="s">
        <v>2246</v>
      </c>
      <c r="T66" s="279" t="s">
        <v>2246</v>
      </c>
      <c r="U66" s="279" t="s">
        <v>2246</v>
      </c>
      <c r="V66" s="271" t="s">
        <v>2246</v>
      </c>
      <c r="W66" s="279" t="s">
        <v>2246</v>
      </c>
      <c r="X66" s="279" t="s">
        <v>2246</v>
      </c>
      <c r="Y66" s="271" t="s">
        <v>2246</v>
      </c>
      <c r="Z66" s="1448">
        <f>COUNTA(N67:Y67)/COUNTA(N66:Y66)</f>
        <v>0</v>
      </c>
      <c r="AA66" s="1447">
        <f>AVERAGE(Z66:Z71)</f>
        <v>0</v>
      </c>
    </row>
    <row r="67" spans="1:27" ht="43.5" customHeight="1" thickBot="1" x14ac:dyDescent="0.3">
      <c r="A67" s="1432"/>
      <c r="B67" s="1432"/>
      <c r="C67" s="1435"/>
      <c r="D67" s="1438"/>
      <c r="E67" s="1439"/>
      <c r="F67" s="1439"/>
      <c r="G67" s="1439"/>
      <c r="H67" s="1439"/>
      <c r="I67" s="1439"/>
      <c r="J67" s="1439"/>
      <c r="K67" s="1441"/>
      <c r="L67" s="1443"/>
      <c r="M67" s="273" t="s">
        <v>2240</v>
      </c>
      <c r="N67" s="280"/>
      <c r="O67" s="280"/>
      <c r="P67" s="280"/>
      <c r="Q67" s="280"/>
      <c r="R67" s="280"/>
      <c r="S67" s="280"/>
      <c r="T67" s="280"/>
      <c r="U67" s="280"/>
      <c r="V67" s="280"/>
      <c r="W67" s="280"/>
      <c r="X67" s="280"/>
      <c r="Y67" s="280"/>
      <c r="Z67" s="1428"/>
      <c r="AA67" s="1430"/>
    </row>
    <row r="68" spans="1:27" ht="43.5" customHeight="1" thickBot="1" x14ac:dyDescent="0.3">
      <c r="A68" s="1432"/>
      <c r="B68" s="1432"/>
      <c r="C68" s="1435"/>
      <c r="D68" s="1436" t="s">
        <v>2323</v>
      </c>
      <c r="E68" s="1437"/>
      <c r="F68" s="1437"/>
      <c r="G68" s="1437"/>
      <c r="H68" s="1437"/>
      <c r="I68" s="1437"/>
      <c r="J68" s="1437"/>
      <c r="K68" s="1440" t="s">
        <v>2324</v>
      </c>
      <c r="L68" s="1442" t="s">
        <v>2238</v>
      </c>
      <c r="M68" s="276" t="s">
        <v>2239</v>
      </c>
      <c r="N68" s="281"/>
      <c r="O68" s="281"/>
      <c r="P68" s="281"/>
      <c r="Q68" s="281"/>
      <c r="R68" s="281"/>
      <c r="S68" s="281"/>
      <c r="T68" s="281"/>
      <c r="U68" s="281"/>
      <c r="V68" s="281" t="s">
        <v>2246</v>
      </c>
      <c r="W68" s="281" t="s">
        <v>2246</v>
      </c>
      <c r="X68" s="277"/>
      <c r="Y68" s="277"/>
      <c r="Z68" s="1427">
        <f>COUNTA(N69:Y69)/COUNTA(N68:Y68)</f>
        <v>0</v>
      </c>
      <c r="AA68" s="1430"/>
    </row>
    <row r="69" spans="1:27" ht="43.5" customHeight="1" thickBot="1" x14ac:dyDescent="0.3">
      <c r="A69" s="1432"/>
      <c r="B69" s="1432"/>
      <c r="C69" s="1435"/>
      <c r="D69" s="1438"/>
      <c r="E69" s="1439"/>
      <c r="F69" s="1439"/>
      <c r="G69" s="1439"/>
      <c r="H69" s="1439"/>
      <c r="I69" s="1439"/>
      <c r="J69" s="1439"/>
      <c r="K69" s="1441"/>
      <c r="L69" s="1443"/>
      <c r="M69" s="273" t="s">
        <v>2240</v>
      </c>
      <c r="N69" s="280"/>
      <c r="O69" s="280"/>
      <c r="P69" s="280"/>
      <c r="Q69" s="280"/>
      <c r="R69" s="280"/>
      <c r="S69" s="280"/>
      <c r="T69" s="280"/>
      <c r="U69" s="280"/>
      <c r="V69" s="280"/>
      <c r="W69" s="280"/>
      <c r="X69" s="280"/>
      <c r="Y69" s="280"/>
      <c r="Z69" s="1428"/>
      <c r="AA69" s="1430"/>
    </row>
    <row r="70" spans="1:27" ht="43.5" customHeight="1" thickBot="1" x14ac:dyDescent="0.3">
      <c r="A70" s="1432"/>
      <c r="B70" s="1432"/>
      <c r="C70" s="1435"/>
      <c r="D70" s="1436" t="s">
        <v>2325</v>
      </c>
      <c r="E70" s="1437"/>
      <c r="F70" s="1437"/>
      <c r="G70" s="1437"/>
      <c r="H70" s="1437"/>
      <c r="I70" s="1437"/>
      <c r="J70" s="1437"/>
      <c r="K70" s="1440" t="s">
        <v>2326</v>
      </c>
      <c r="L70" s="1442" t="s">
        <v>2238</v>
      </c>
      <c r="M70" s="276" t="s">
        <v>2239</v>
      </c>
      <c r="N70" s="281"/>
      <c r="O70" s="281"/>
      <c r="P70" s="281"/>
      <c r="Q70" s="281"/>
      <c r="R70" s="281"/>
      <c r="S70" s="277"/>
      <c r="T70" s="281"/>
      <c r="U70" s="281"/>
      <c r="V70" s="281"/>
      <c r="W70" s="281"/>
      <c r="X70" s="281" t="s">
        <v>2246</v>
      </c>
      <c r="Y70" s="277"/>
      <c r="Z70" s="1427">
        <f>COUNTA(N71:Y71)/COUNTA(N70:Y70)</f>
        <v>0</v>
      </c>
      <c r="AA70" s="1430"/>
    </row>
    <row r="71" spans="1:27" ht="43.5" customHeight="1" thickBot="1" x14ac:dyDescent="0.3">
      <c r="A71" s="1432"/>
      <c r="B71" s="1432"/>
      <c r="C71" s="1435"/>
      <c r="D71" s="1438"/>
      <c r="E71" s="1439"/>
      <c r="F71" s="1439"/>
      <c r="G71" s="1439"/>
      <c r="H71" s="1439"/>
      <c r="I71" s="1439"/>
      <c r="J71" s="1439"/>
      <c r="K71" s="1441"/>
      <c r="L71" s="1443"/>
      <c r="M71" s="273" t="s">
        <v>2240</v>
      </c>
      <c r="N71" s="280"/>
      <c r="O71" s="280"/>
      <c r="P71" s="280"/>
      <c r="Q71" s="280"/>
      <c r="R71" s="280"/>
      <c r="S71" s="280"/>
      <c r="T71" s="280"/>
      <c r="U71" s="280"/>
      <c r="V71" s="280"/>
      <c r="W71" s="280"/>
      <c r="X71" s="280"/>
      <c r="Y71" s="280"/>
      <c r="Z71" s="1428"/>
      <c r="AA71" s="1430"/>
    </row>
    <row r="72" spans="1:27" ht="54" customHeight="1" thickBot="1" x14ac:dyDescent="0.3">
      <c r="A72" s="1431" t="s">
        <v>2327</v>
      </c>
      <c r="B72" s="1433" t="s">
        <v>2328</v>
      </c>
      <c r="C72" s="1434" t="s">
        <v>2329</v>
      </c>
      <c r="D72" s="1436" t="s">
        <v>2330</v>
      </c>
      <c r="E72" s="1437"/>
      <c r="F72" s="1437"/>
      <c r="G72" s="1437"/>
      <c r="H72" s="1437"/>
      <c r="I72" s="1437"/>
      <c r="J72" s="1437"/>
      <c r="K72" s="1440" t="s">
        <v>2331</v>
      </c>
      <c r="L72" s="1442" t="s">
        <v>2238</v>
      </c>
      <c r="M72" s="276" t="s">
        <v>2239</v>
      </c>
      <c r="N72" s="281"/>
      <c r="O72" s="277"/>
      <c r="P72" s="277"/>
      <c r="Q72" s="277"/>
      <c r="R72" s="281"/>
      <c r="S72" s="281"/>
      <c r="T72" s="281"/>
      <c r="U72" s="281"/>
      <c r="V72" s="281"/>
      <c r="W72" s="281"/>
      <c r="X72" s="281" t="s">
        <v>2246</v>
      </c>
      <c r="Y72" s="281"/>
      <c r="Z72" s="1427">
        <f>COUNTA(N73:Y73)/COUNTA(N72:Y72)</f>
        <v>0</v>
      </c>
      <c r="AA72" s="1429">
        <f>AVERAGE(Z72:Z73)</f>
        <v>0</v>
      </c>
    </row>
    <row r="73" spans="1:27" ht="66" customHeight="1" thickBot="1" x14ac:dyDescent="0.3">
      <c r="A73" s="1432"/>
      <c r="B73" s="1432"/>
      <c r="C73" s="1435"/>
      <c r="D73" s="1438"/>
      <c r="E73" s="1439"/>
      <c r="F73" s="1439"/>
      <c r="G73" s="1439"/>
      <c r="H73" s="1439"/>
      <c r="I73" s="1439"/>
      <c r="J73" s="1439"/>
      <c r="K73" s="1441"/>
      <c r="L73" s="1443"/>
      <c r="M73" s="273" t="s">
        <v>2240</v>
      </c>
      <c r="N73" s="280"/>
      <c r="O73" s="280"/>
      <c r="P73" s="280"/>
      <c r="Q73" s="280"/>
      <c r="R73" s="280"/>
      <c r="S73" s="280"/>
      <c r="T73" s="280"/>
      <c r="U73" s="280"/>
      <c r="V73" s="280"/>
      <c r="W73" s="280"/>
      <c r="X73" s="280"/>
      <c r="Y73" s="280"/>
      <c r="Z73" s="1428"/>
      <c r="AA73" s="1430"/>
    </row>
    <row r="74" spans="1:27" ht="19.5" customHeight="1" x14ac:dyDescent="0.25">
      <c r="A74" s="289"/>
      <c r="B74" s="290"/>
      <c r="C74" s="291"/>
      <c r="D74" s="546"/>
      <c r="E74" s="546"/>
      <c r="F74" s="546"/>
      <c r="G74" s="546"/>
      <c r="H74" s="546"/>
      <c r="I74" s="546"/>
      <c r="J74" s="546"/>
      <c r="K74" s="292"/>
      <c r="L74" s="292"/>
      <c r="M74" s="293"/>
      <c r="N74" s="293"/>
      <c r="O74" s="293"/>
      <c r="P74" s="293"/>
      <c r="Q74" s="293"/>
      <c r="R74" s="293"/>
      <c r="S74" s="293"/>
      <c r="T74" s="293"/>
      <c r="U74" s="293"/>
      <c r="V74" s="293"/>
      <c r="W74" s="293"/>
      <c r="X74" s="293"/>
      <c r="Y74" s="293"/>
      <c r="Z74" s="294"/>
      <c r="AA74" s="294"/>
    </row>
    <row r="75" spans="1:27" ht="27.75" customHeight="1" x14ac:dyDescent="0.25">
      <c r="A75" s="290"/>
      <c r="B75" s="291"/>
      <c r="C75" s="292"/>
      <c r="D75" s="546"/>
      <c r="E75" s="546"/>
      <c r="F75" s="546"/>
      <c r="G75" s="546"/>
      <c r="H75" s="546"/>
      <c r="I75" s="546"/>
      <c r="J75" s="310" t="s">
        <v>2332</v>
      </c>
      <c r="K75" s="295" t="s">
        <v>2333</v>
      </c>
      <c r="L75" s="296"/>
      <c r="M75" s="297" t="s">
        <v>2334</v>
      </c>
      <c r="N75" s="1420" t="s">
        <v>2335</v>
      </c>
      <c r="O75" s="1421"/>
      <c r="P75" s="1422"/>
      <c r="Q75" s="1420" t="s">
        <v>2336</v>
      </c>
      <c r="R75" s="1421"/>
      <c r="S75" s="1422"/>
      <c r="T75" s="1420" t="s">
        <v>2337</v>
      </c>
      <c r="U75" s="1421"/>
      <c r="V75" s="1422"/>
      <c r="W75" s="1420" t="s">
        <v>2338</v>
      </c>
      <c r="X75" s="1421"/>
      <c r="Y75" s="1423"/>
    </row>
    <row r="76" spans="1:27" ht="42.75" customHeight="1" x14ac:dyDescent="0.25">
      <c r="A76" s="1412" t="s">
        <v>2339</v>
      </c>
      <c r="B76" s="1413"/>
      <c r="C76" s="1413"/>
      <c r="D76" s="1413"/>
      <c r="E76" s="1413"/>
      <c r="F76" s="1413"/>
      <c r="G76" s="1413"/>
      <c r="H76" s="1413"/>
      <c r="I76" s="1414"/>
      <c r="J76" s="298" t="s">
        <v>2340</v>
      </c>
      <c r="K76" s="548"/>
      <c r="L76" s="296"/>
      <c r="M76" s="299" t="s">
        <v>2341</v>
      </c>
      <c r="N76" s="1424">
        <f>COUNTIF(N6:P73,"P")</f>
        <v>12</v>
      </c>
      <c r="O76" s="1390"/>
      <c r="P76" s="1391"/>
      <c r="Q76" s="1424">
        <f>COUNTIF(Q6:S73,"P")</f>
        <v>42</v>
      </c>
      <c r="R76" s="1390"/>
      <c r="S76" s="1391"/>
      <c r="T76" s="1424">
        <f>COUNTIF(T6:V73,"P")</f>
        <v>31</v>
      </c>
      <c r="U76" s="1390"/>
      <c r="V76" s="1391"/>
      <c r="W76" s="1424">
        <f>COUNTIF(W6:Y73,"P")</f>
        <v>44</v>
      </c>
      <c r="X76" s="1390"/>
      <c r="Y76" s="1391"/>
    </row>
    <row r="77" spans="1:27" ht="42.75" customHeight="1" x14ac:dyDescent="0.25">
      <c r="A77" s="1412" t="s">
        <v>2342</v>
      </c>
      <c r="B77" s="1413"/>
      <c r="C77" s="1413"/>
      <c r="D77" s="1413"/>
      <c r="E77" s="1413"/>
      <c r="F77" s="1413"/>
      <c r="G77" s="1413"/>
      <c r="H77" s="1413"/>
      <c r="I77" s="1414"/>
      <c r="J77" s="298" t="s">
        <v>2343</v>
      </c>
      <c r="K77" s="548"/>
      <c r="L77" s="296"/>
      <c r="M77" s="299" t="s">
        <v>2344</v>
      </c>
      <c r="N77" s="1424">
        <f>COUNTIF(N6:P73,"E")</f>
        <v>10</v>
      </c>
      <c r="O77" s="1425"/>
      <c r="P77" s="1426"/>
      <c r="Q77" s="1424">
        <f>COUNTIF(Q6:S73,"E")</f>
        <v>24</v>
      </c>
      <c r="R77" s="1425"/>
      <c r="S77" s="1426"/>
      <c r="T77" s="1424">
        <f>COUNTIF(T12:V73,"E")</f>
        <v>0</v>
      </c>
      <c r="U77" s="1425"/>
      <c r="V77" s="1426"/>
      <c r="W77" s="1424">
        <f>COUNTIF(W12:Y73,"E")</f>
        <v>0</v>
      </c>
      <c r="X77" s="1425"/>
      <c r="Y77" s="1426"/>
      <c r="Z77" s="294"/>
      <c r="AA77" s="294"/>
    </row>
    <row r="78" spans="1:27" ht="42.75" customHeight="1" x14ac:dyDescent="0.25">
      <c r="A78" s="1412" t="s">
        <v>2345</v>
      </c>
      <c r="B78" s="1413"/>
      <c r="C78" s="1413"/>
      <c r="D78" s="1413"/>
      <c r="E78" s="1413"/>
      <c r="F78" s="1413"/>
      <c r="G78" s="1413"/>
      <c r="H78" s="1413"/>
      <c r="I78" s="1414"/>
      <c r="J78" s="298" t="s">
        <v>2346</v>
      </c>
      <c r="K78" s="548"/>
      <c r="L78" s="296"/>
      <c r="M78" s="299" t="s">
        <v>2347</v>
      </c>
      <c r="N78" s="1415">
        <f>N77/N76</f>
        <v>0.83333333333333337</v>
      </c>
      <c r="O78" s="1416"/>
      <c r="P78" s="1417"/>
      <c r="Q78" s="1415">
        <f>Q77/Q76</f>
        <v>0.5714285714285714</v>
      </c>
      <c r="R78" s="1416"/>
      <c r="S78" s="1417"/>
      <c r="T78" s="1415">
        <f>T77/T76</f>
        <v>0</v>
      </c>
      <c r="U78" s="1416"/>
      <c r="V78" s="1417"/>
      <c r="W78" s="1415">
        <f>W77/W76</f>
        <v>0</v>
      </c>
      <c r="X78" s="1416"/>
      <c r="Y78" s="1417"/>
      <c r="Z78" s="294"/>
      <c r="AA78" s="294"/>
    </row>
    <row r="79" spans="1:27" ht="21.75" customHeight="1" x14ac:dyDescent="0.25">
      <c r="C79" s="265"/>
      <c r="D79" s="264"/>
      <c r="E79" s="264"/>
      <c r="F79" s="264"/>
      <c r="G79" s="264"/>
      <c r="H79" s="264"/>
      <c r="I79" s="264"/>
      <c r="J79" s="264"/>
      <c r="K79" s="265"/>
      <c r="L79" s="265"/>
      <c r="M79" s="265"/>
      <c r="N79" s="300"/>
      <c r="O79" s="300"/>
      <c r="P79" s="300"/>
      <c r="Q79" s="300"/>
      <c r="R79" s="300"/>
      <c r="S79" s="300"/>
      <c r="T79" s="300"/>
      <c r="U79" s="300"/>
      <c r="V79" s="300"/>
      <c r="W79" s="300"/>
      <c r="X79" s="300"/>
      <c r="Y79" s="300"/>
    </row>
    <row r="80" spans="1:27" ht="9.75" customHeight="1" thickBot="1" x14ac:dyDescent="0.3">
      <c r="C80" s="301"/>
      <c r="D80" s="302"/>
      <c r="E80" s="302"/>
      <c r="F80" s="302"/>
      <c r="G80" s="302"/>
      <c r="H80" s="302"/>
      <c r="I80" s="302"/>
      <c r="J80" s="302"/>
      <c r="K80" s="301"/>
      <c r="L80" s="301"/>
      <c r="M80" s="301"/>
      <c r="N80" s="301"/>
      <c r="O80" s="301"/>
      <c r="P80" s="301"/>
      <c r="Q80" s="301"/>
      <c r="R80" s="301"/>
      <c r="S80" s="301"/>
      <c r="T80" s="301"/>
      <c r="U80" s="301"/>
      <c r="V80" s="301"/>
      <c r="W80" s="301"/>
      <c r="X80" s="301"/>
      <c r="Y80" s="301"/>
    </row>
    <row r="81" spans="3:25" ht="32.25" customHeight="1" thickBot="1" x14ac:dyDescent="0.3">
      <c r="C81" s="1418" t="s">
        <v>2348</v>
      </c>
      <c r="D81" s="1419"/>
      <c r="E81" s="1419"/>
      <c r="F81" s="1419"/>
      <c r="G81" s="1419"/>
      <c r="H81" s="1419"/>
      <c r="I81" s="1419"/>
      <c r="J81" s="1419"/>
      <c r="K81" s="1419"/>
      <c r="L81" s="303" t="s">
        <v>2349</v>
      </c>
      <c r="M81" s="311" t="s">
        <v>2334</v>
      </c>
      <c r="N81" s="1420" t="s">
        <v>2335</v>
      </c>
      <c r="O81" s="1421"/>
      <c r="P81" s="1422"/>
      <c r="Q81" s="1420" t="s">
        <v>2336</v>
      </c>
      <c r="R81" s="1421"/>
      <c r="S81" s="1422"/>
      <c r="T81" s="1420" t="s">
        <v>2337</v>
      </c>
      <c r="U81" s="1421"/>
      <c r="V81" s="1422"/>
      <c r="W81" s="1420" t="s">
        <v>2338</v>
      </c>
      <c r="X81" s="1421"/>
      <c r="Y81" s="1423"/>
    </row>
    <row r="82" spans="3:25" ht="39" customHeight="1" x14ac:dyDescent="0.25">
      <c r="C82" s="1408" t="s">
        <v>2350</v>
      </c>
      <c r="D82" s="1409"/>
      <c r="E82" s="1409"/>
      <c r="F82" s="1409"/>
      <c r="G82" s="1409"/>
      <c r="H82" s="1409"/>
      <c r="I82" s="1399" t="s">
        <v>2351</v>
      </c>
      <c r="J82" s="1400"/>
      <c r="K82" s="1401"/>
      <c r="L82" s="1410">
        <v>0.95</v>
      </c>
      <c r="M82" s="312" t="s">
        <v>1783</v>
      </c>
      <c r="N82" s="1404">
        <f>N77</f>
        <v>10</v>
      </c>
      <c r="O82" s="1393"/>
      <c r="P82" s="1405"/>
      <c r="Q82" s="1392">
        <f>Q77</f>
        <v>24</v>
      </c>
      <c r="R82" s="1393"/>
      <c r="S82" s="1405"/>
      <c r="T82" s="1392">
        <f>T77</f>
        <v>0</v>
      </c>
      <c r="U82" s="1393"/>
      <c r="V82" s="1405"/>
      <c r="W82" s="1392">
        <f>W77</f>
        <v>0</v>
      </c>
      <c r="X82" s="1393"/>
      <c r="Y82" s="1394"/>
    </row>
    <row r="83" spans="3:25" ht="48.75" customHeight="1" x14ac:dyDescent="0.25">
      <c r="C83" s="1395" t="s">
        <v>2352</v>
      </c>
      <c r="D83" s="1396"/>
      <c r="E83" s="1396"/>
      <c r="F83" s="1396"/>
      <c r="G83" s="1396"/>
      <c r="H83" s="1396"/>
      <c r="I83" s="1399" t="s">
        <v>2353</v>
      </c>
      <c r="J83" s="1400"/>
      <c r="K83" s="1401"/>
      <c r="L83" s="1411"/>
      <c r="M83" s="312" t="s">
        <v>2354</v>
      </c>
      <c r="N83" s="1404">
        <f>N76</f>
        <v>12</v>
      </c>
      <c r="O83" s="1393"/>
      <c r="P83" s="1405"/>
      <c r="Q83" s="1392">
        <f>Q76</f>
        <v>42</v>
      </c>
      <c r="R83" s="1393"/>
      <c r="S83" s="1405"/>
      <c r="T83" s="1392">
        <f>T76</f>
        <v>31</v>
      </c>
      <c r="U83" s="1393"/>
      <c r="V83" s="1405"/>
      <c r="W83" s="1392">
        <f>W76</f>
        <v>44</v>
      </c>
      <c r="X83" s="1393"/>
      <c r="Y83" s="1394"/>
    </row>
    <row r="84" spans="3:25" ht="42" customHeight="1" thickBot="1" x14ac:dyDescent="0.3">
      <c r="C84" s="1397"/>
      <c r="D84" s="1398"/>
      <c r="E84" s="1398"/>
      <c r="F84" s="1398"/>
      <c r="G84" s="1398"/>
      <c r="H84" s="1398"/>
      <c r="I84" s="1402"/>
      <c r="J84" s="1402"/>
      <c r="K84" s="1403"/>
      <c r="L84" s="1411"/>
      <c r="M84" s="313" t="s">
        <v>2355</v>
      </c>
      <c r="N84" s="1406">
        <f>+N82/N83</f>
        <v>0.83333333333333337</v>
      </c>
      <c r="O84" s="1393"/>
      <c r="P84" s="1405"/>
      <c r="Q84" s="1407">
        <f>+Q82/Q83</f>
        <v>0.5714285714285714</v>
      </c>
      <c r="R84" s="1393"/>
      <c r="S84" s="1405"/>
      <c r="T84" s="1407">
        <f>+T82/T83</f>
        <v>0</v>
      </c>
      <c r="U84" s="1393"/>
      <c r="V84" s="1405"/>
      <c r="W84" s="1407">
        <f>+W82/W83</f>
        <v>0</v>
      </c>
      <c r="X84" s="1393"/>
      <c r="Y84" s="1394"/>
    </row>
    <row r="85" spans="3:25" ht="54" customHeight="1" x14ac:dyDescent="0.25">
      <c r="C85" s="1378"/>
      <c r="D85" s="1379"/>
      <c r="E85" s="1379"/>
      <c r="F85" s="1379"/>
      <c r="G85" s="1379"/>
      <c r="H85" s="1379"/>
      <c r="I85" s="1379"/>
      <c r="J85" s="1379"/>
      <c r="K85" s="1379"/>
      <c r="L85" s="1380"/>
      <c r="M85" s="314" t="s">
        <v>2356</v>
      </c>
      <c r="N85" s="1384">
        <f>+N84</f>
        <v>0.83333333333333337</v>
      </c>
      <c r="O85" s="1385"/>
      <c r="P85" s="1386"/>
      <c r="Q85" s="1387">
        <f>+(N85+Q84)/2</f>
        <v>0.70238095238095233</v>
      </c>
      <c r="R85" s="1385"/>
      <c r="S85" s="1386"/>
      <c r="T85" s="1387">
        <f>+(Q85*2+T84)/3</f>
        <v>0.4682539682539682</v>
      </c>
      <c r="U85" s="1385"/>
      <c r="V85" s="1386"/>
      <c r="W85" s="1387">
        <f>+(T85*3+W84)/4</f>
        <v>0.35119047619047616</v>
      </c>
      <c r="X85" s="1385"/>
      <c r="Y85" s="1388"/>
    </row>
    <row r="86" spans="3:25" ht="333" customHeight="1" thickBot="1" x14ac:dyDescent="0.3">
      <c r="C86" s="1381"/>
      <c r="D86" s="1382"/>
      <c r="E86" s="1382"/>
      <c r="F86" s="1382"/>
      <c r="G86" s="1382"/>
      <c r="H86" s="1382"/>
      <c r="I86" s="1382"/>
      <c r="J86" s="1382"/>
      <c r="K86" s="1382"/>
      <c r="L86" s="1383"/>
      <c r="M86" s="315" t="s">
        <v>2011</v>
      </c>
      <c r="N86" s="1389"/>
      <c r="O86" s="1390"/>
      <c r="P86" s="1390"/>
      <c r="Q86" s="1389"/>
      <c r="R86" s="1390"/>
      <c r="S86" s="1390"/>
      <c r="T86" s="1389"/>
      <c r="U86" s="1390"/>
      <c r="V86" s="1390"/>
      <c r="W86" s="1389"/>
      <c r="X86" s="1390"/>
      <c r="Y86" s="1391"/>
    </row>
    <row r="87" spans="3:25" ht="8.25" customHeight="1" x14ac:dyDescent="0.25">
      <c r="C87" s="549"/>
      <c r="D87" s="304"/>
      <c r="E87" s="304"/>
      <c r="F87" s="304"/>
      <c r="G87" s="304"/>
      <c r="H87" s="304"/>
      <c r="I87" s="304"/>
      <c r="J87" s="304"/>
      <c r="K87" s="549"/>
      <c r="L87" s="549"/>
    </row>
    <row r="88" spans="3:25" ht="14.25" customHeight="1" x14ac:dyDescent="0.25"/>
    <row r="89" spans="3:25" ht="14.25" customHeight="1" x14ac:dyDescent="0.25"/>
    <row r="90" spans="3:25" ht="14.25" customHeight="1" x14ac:dyDescent="0.25"/>
    <row r="91" spans="3:25" ht="14.25" customHeight="1" x14ac:dyDescent="0.25"/>
    <row r="92" spans="3:25" ht="14.25" customHeight="1" x14ac:dyDescent="0.25"/>
    <row r="93" spans="3:25" ht="14.25" customHeight="1" x14ac:dyDescent="0.25"/>
    <row r="94" spans="3:25" ht="14.25" customHeight="1" x14ac:dyDescent="0.25"/>
    <row r="95" spans="3:25" ht="14.25" customHeight="1" x14ac:dyDescent="0.25"/>
    <row r="96" spans="3:25"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sheetData>
  <mergeCells count="224">
    <mergeCell ref="A3:AA3"/>
    <mergeCell ref="A4:A5"/>
    <mergeCell ref="B4:B5"/>
    <mergeCell ref="C4:C5"/>
    <mergeCell ref="D4:J5"/>
    <mergeCell ref="K4:K5"/>
    <mergeCell ref="L4:L5"/>
    <mergeCell ref="M4:M5"/>
    <mergeCell ref="N4:Y4"/>
    <mergeCell ref="AA4:AA5"/>
    <mergeCell ref="A6:A33"/>
    <mergeCell ref="B6:B19"/>
    <mergeCell ref="C6:C15"/>
    <mergeCell ref="D6:J7"/>
    <mergeCell ref="K6:K7"/>
    <mergeCell ref="L6:L7"/>
    <mergeCell ref="D12:J13"/>
    <mergeCell ref="K12:K13"/>
    <mergeCell ref="L12:L13"/>
    <mergeCell ref="D18:J19"/>
    <mergeCell ref="C16:C19"/>
    <mergeCell ref="B20:B33"/>
    <mergeCell ref="C20:C21"/>
    <mergeCell ref="L20:L21"/>
    <mergeCell ref="C26:C27"/>
    <mergeCell ref="D26:J27"/>
    <mergeCell ref="K26:K27"/>
    <mergeCell ref="L26:L27"/>
    <mergeCell ref="C32:C33"/>
    <mergeCell ref="D32:J33"/>
    <mergeCell ref="K32:K33"/>
    <mergeCell ref="L32:L33"/>
    <mergeCell ref="Z6:Z7"/>
    <mergeCell ref="AA6:AA33"/>
    <mergeCell ref="D8:J9"/>
    <mergeCell ref="K8:K9"/>
    <mergeCell ref="L8:L9"/>
    <mergeCell ref="Z8:Z9"/>
    <mergeCell ref="D10:J11"/>
    <mergeCell ref="K10:K11"/>
    <mergeCell ref="L10:L11"/>
    <mergeCell ref="Z10:Z11"/>
    <mergeCell ref="Z12:Z13"/>
    <mergeCell ref="D14:J15"/>
    <mergeCell ref="K14:K15"/>
    <mergeCell ref="L14:L15"/>
    <mergeCell ref="Z14:Z15"/>
    <mergeCell ref="D16:J17"/>
    <mergeCell ref="K16:K17"/>
    <mergeCell ref="L16:L17"/>
    <mergeCell ref="Z16:Z17"/>
    <mergeCell ref="K18:K19"/>
    <mergeCell ref="L18:L19"/>
    <mergeCell ref="Z18:Z19"/>
    <mergeCell ref="D20:J21"/>
    <mergeCell ref="K20:K21"/>
    <mergeCell ref="Z20:Z21"/>
    <mergeCell ref="C22:C23"/>
    <mergeCell ref="D22:J23"/>
    <mergeCell ref="K22:K23"/>
    <mergeCell ref="L22:L23"/>
    <mergeCell ref="Z22:Z23"/>
    <mergeCell ref="C24:C25"/>
    <mergeCell ref="D24:J25"/>
    <mergeCell ref="K24:K25"/>
    <mergeCell ref="L24:L25"/>
    <mergeCell ref="Z24:Z25"/>
    <mergeCell ref="Z26:Z27"/>
    <mergeCell ref="C28:C29"/>
    <mergeCell ref="D28:J29"/>
    <mergeCell ref="K28:K29"/>
    <mergeCell ref="L28:L29"/>
    <mergeCell ref="Z28:Z29"/>
    <mergeCell ref="C30:C31"/>
    <mergeCell ref="D30:J31"/>
    <mergeCell ref="K30:K31"/>
    <mergeCell ref="L30:L31"/>
    <mergeCell ref="Z30:Z31"/>
    <mergeCell ref="Z32:Z33"/>
    <mergeCell ref="Z34:Z35"/>
    <mergeCell ref="AA34:AA65"/>
    <mergeCell ref="D36:J37"/>
    <mergeCell ref="K36:K37"/>
    <mergeCell ref="L36:L37"/>
    <mergeCell ref="Z36:Z37"/>
    <mergeCell ref="D38:J39"/>
    <mergeCell ref="K38:K39"/>
    <mergeCell ref="L38:L39"/>
    <mergeCell ref="Z38:Z39"/>
    <mergeCell ref="D34:J35"/>
    <mergeCell ref="K34:K35"/>
    <mergeCell ref="L34:L35"/>
    <mergeCell ref="D40:J41"/>
    <mergeCell ref="K40:K41"/>
    <mergeCell ref="L40:L41"/>
    <mergeCell ref="D46:J47"/>
    <mergeCell ref="K46:K47"/>
    <mergeCell ref="L46:L47"/>
    <mergeCell ref="Z46:Z47"/>
    <mergeCell ref="D48:J49"/>
    <mergeCell ref="K48:K49"/>
    <mergeCell ref="L48:L49"/>
    <mergeCell ref="Z54:Z55"/>
    <mergeCell ref="D56:J57"/>
    <mergeCell ref="K56:K57"/>
    <mergeCell ref="L56:L57"/>
    <mergeCell ref="Z56:Z57"/>
    <mergeCell ref="Z48:Z49"/>
    <mergeCell ref="Z40:Z41"/>
    <mergeCell ref="D42:J43"/>
    <mergeCell ref="K42:K43"/>
    <mergeCell ref="L42:L43"/>
    <mergeCell ref="Z42:Z43"/>
    <mergeCell ref="D44:J45"/>
    <mergeCell ref="K44:K45"/>
    <mergeCell ref="L44:L45"/>
    <mergeCell ref="Z44:Z45"/>
    <mergeCell ref="Z50:Z51"/>
    <mergeCell ref="A66:A71"/>
    <mergeCell ref="B66:B71"/>
    <mergeCell ref="C66:C71"/>
    <mergeCell ref="D66:J67"/>
    <mergeCell ref="K66:K67"/>
    <mergeCell ref="L66:L67"/>
    <mergeCell ref="D62:J63"/>
    <mergeCell ref="K62:K63"/>
    <mergeCell ref="L62:L63"/>
    <mergeCell ref="A34:A65"/>
    <mergeCell ref="B34:B65"/>
    <mergeCell ref="C34:C45"/>
    <mergeCell ref="C46:C49"/>
    <mergeCell ref="C50:C51"/>
    <mergeCell ref="D50:J51"/>
    <mergeCell ref="K50:K51"/>
    <mergeCell ref="L50:L51"/>
    <mergeCell ref="K52:K53"/>
    <mergeCell ref="L52:L53"/>
    <mergeCell ref="D64:J65"/>
    <mergeCell ref="K64:K65"/>
    <mergeCell ref="L64:L65"/>
    <mergeCell ref="D58:J59"/>
    <mergeCell ref="K58:K59"/>
    <mergeCell ref="C52:C65"/>
    <mergeCell ref="D52:J53"/>
    <mergeCell ref="AA66:AA71"/>
    <mergeCell ref="D68:J69"/>
    <mergeCell ref="K68:K69"/>
    <mergeCell ref="L68:L69"/>
    <mergeCell ref="Z68:Z69"/>
    <mergeCell ref="D70:J71"/>
    <mergeCell ref="K70:K71"/>
    <mergeCell ref="L70:L71"/>
    <mergeCell ref="Z70:Z71"/>
    <mergeCell ref="Z66:Z67"/>
    <mergeCell ref="Z52:Z53"/>
    <mergeCell ref="Z62:Z63"/>
    <mergeCell ref="Z64:Z65"/>
    <mergeCell ref="L58:L59"/>
    <mergeCell ref="Z58:Z59"/>
    <mergeCell ref="D60:J61"/>
    <mergeCell ref="K60:K61"/>
    <mergeCell ref="L60:L61"/>
    <mergeCell ref="Z60:Z61"/>
    <mergeCell ref="D54:J55"/>
    <mergeCell ref="K54:K55"/>
    <mergeCell ref="L54:L55"/>
    <mergeCell ref="Z72:Z73"/>
    <mergeCell ref="AA72:AA73"/>
    <mergeCell ref="N75:P75"/>
    <mergeCell ref="Q75:S75"/>
    <mergeCell ref="T75:V75"/>
    <mergeCell ref="W75:Y75"/>
    <mergeCell ref="A72:A73"/>
    <mergeCell ref="B72:B73"/>
    <mergeCell ref="C72:C73"/>
    <mergeCell ref="D72:J73"/>
    <mergeCell ref="K72:K73"/>
    <mergeCell ref="L72:L73"/>
    <mergeCell ref="A76:I76"/>
    <mergeCell ref="N76:P76"/>
    <mergeCell ref="Q76:S76"/>
    <mergeCell ref="T76:V76"/>
    <mergeCell ref="W76:Y76"/>
    <mergeCell ref="A77:I77"/>
    <mergeCell ref="N77:P77"/>
    <mergeCell ref="Q77:S77"/>
    <mergeCell ref="T77:V77"/>
    <mergeCell ref="W77:Y77"/>
    <mergeCell ref="A78:I78"/>
    <mergeCell ref="N78:P78"/>
    <mergeCell ref="Q78:S78"/>
    <mergeCell ref="T78:V78"/>
    <mergeCell ref="W78:Y78"/>
    <mergeCell ref="C81:K81"/>
    <mergeCell ref="N81:P81"/>
    <mergeCell ref="Q81:S81"/>
    <mergeCell ref="T81:V81"/>
    <mergeCell ref="W81:Y81"/>
    <mergeCell ref="W82:Y82"/>
    <mergeCell ref="C83:H84"/>
    <mergeCell ref="I83:K84"/>
    <mergeCell ref="N83:P83"/>
    <mergeCell ref="Q83:S83"/>
    <mergeCell ref="T83:V83"/>
    <mergeCell ref="W83:Y83"/>
    <mergeCell ref="N84:P84"/>
    <mergeCell ref="Q84:S84"/>
    <mergeCell ref="T84:V84"/>
    <mergeCell ref="C82:H82"/>
    <mergeCell ref="I82:K82"/>
    <mergeCell ref="L82:L84"/>
    <mergeCell ref="N82:P82"/>
    <mergeCell ref="Q82:S82"/>
    <mergeCell ref="T82:V82"/>
    <mergeCell ref="W84:Y84"/>
    <mergeCell ref="C85:L86"/>
    <mergeCell ref="N85:P85"/>
    <mergeCell ref="Q85:S85"/>
    <mergeCell ref="T85:V85"/>
    <mergeCell ref="W85:Y85"/>
    <mergeCell ref="N86:P86"/>
    <mergeCell ref="Q86:S86"/>
    <mergeCell ref="T86:V86"/>
    <mergeCell ref="W86:Y86"/>
  </mergeCells>
  <conditionalFormatting sqref="M6:Y73">
    <cfRule type="cellIs" dxfId="1" priority="1" operator="equal">
      <formula>"E"</formula>
    </cfRule>
    <cfRule type="cellIs" dxfId="0" priority="2" operator="equal">
      <formula>"P"</formula>
    </cfRule>
  </conditionalFormatting>
  <pageMargins left="0.7" right="0.7" top="0.75" bottom="0.75" header="0.3" footer="0.3"/>
  <pageSetup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27"/>
  <sheetViews>
    <sheetView zoomScale="60" zoomScaleNormal="60" workbookViewId="0">
      <selection activeCell="J18" sqref="J18"/>
    </sheetView>
  </sheetViews>
  <sheetFormatPr baseColWidth="10" defaultColWidth="11.42578125" defaultRowHeight="15" x14ac:dyDescent="0.25"/>
  <cols>
    <col min="1" max="1" width="64.140625" customWidth="1"/>
    <col min="2" max="2" width="59.28515625" customWidth="1"/>
    <col min="3" max="3" width="31.85546875" style="44" customWidth="1"/>
    <col min="4" max="4" width="28" customWidth="1"/>
    <col min="5" max="5" width="18.5703125" style="30" customWidth="1"/>
  </cols>
  <sheetData>
    <row r="1" spans="1:6" x14ac:dyDescent="0.25">
      <c r="A1" s="1574"/>
      <c r="B1" s="1576" t="s">
        <v>2357</v>
      </c>
      <c r="C1" s="1577"/>
      <c r="D1" s="1577"/>
      <c r="E1" s="1578"/>
    </row>
    <row r="2" spans="1:6" ht="40.5" customHeight="1" thickBot="1" x14ac:dyDescent="0.3">
      <c r="A2" s="1575"/>
      <c r="B2" s="1579"/>
      <c r="C2" s="1580"/>
      <c r="D2" s="1580"/>
      <c r="E2" s="1581"/>
    </row>
    <row r="3" spans="1:6" ht="15.75" thickBot="1" x14ac:dyDescent="0.3">
      <c r="A3" s="22" t="s">
        <v>2358</v>
      </c>
      <c r="B3" s="23" t="s">
        <v>2359</v>
      </c>
      <c r="C3" s="24" t="s">
        <v>2360</v>
      </c>
      <c r="D3" s="25" t="s">
        <v>2361</v>
      </c>
      <c r="E3" s="26" t="s">
        <v>2362</v>
      </c>
    </row>
    <row r="4" spans="1:6" ht="67.5" x14ac:dyDescent="0.25">
      <c r="A4" s="27" t="s">
        <v>2363</v>
      </c>
      <c r="B4" s="1582" t="s">
        <v>2364</v>
      </c>
      <c r="C4" s="1584" t="s">
        <v>2365</v>
      </c>
      <c r="D4" s="1570" t="s">
        <v>2366</v>
      </c>
      <c r="E4" s="1585" t="s">
        <v>2367</v>
      </c>
      <c r="F4">
        <v>6</v>
      </c>
    </row>
    <row r="5" spans="1:6" ht="46.5" x14ac:dyDescent="0.25">
      <c r="A5" s="28" t="s">
        <v>2368</v>
      </c>
      <c r="B5" s="1582"/>
      <c r="C5" s="1584"/>
      <c r="D5" s="1570"/>
      <c r="E5" s="1570"/>
    </row>
    <row r="6" spans="1:6" x14ac:dyDescent="0.25">
      <c r="A6" s="29" t="s">
        <v>2369</v>
      </c>
      <c r="B6" s="1582"/>
      <c r="C6" s="1584"/>
      <c r="D6" s="1570"/>
      <c r="E6" s="1570"/>
    </row>
    <row r="7" spans="1:6" ht="27" x14ac:dyDescent="0.25">
      <c r="A7" s="29" t="s">
        <v>2370</v>
      </c>
      <c r="B7" s="1582"/>
      <c r="C7" s="1584"/>
      <c r="D7" s="1570"/>
      <c r="E7" s="1570"/>
    </row>
    <row r="8" spans="1:6" ht="27" x14ac:dyDescent="0.25">
      <c r="A8" s="29" t="s">
        <v>2371</v>
      </c>
      <c r="B8" s="1582"/>
      <c r="C8" s="1584"/>
      <c r="D8" s="1570"/>
      <c r="E8" s="1570"/>
    </row>
    <row r="9" spans="1:6" ht="54" x14ac:dyDescent="0.25">
      <c r="A9" s="29" t="s">
        <v>2372</v>
      </c>
      <c r="B9" s="1582"/>
      <c r="C9" s="1584"/>
      <c r="D9" s="1570"/>
      <c r="E9" s="1570"/>
    </row>
    <row r="10" spans="1:6" ht="27" x14ac:dyDescent="0.25">
      <c r="A10" s="29" t="s">
        <v>2373</v>
      </c>
      <c r="B10" s="1583"/>
      <c r="C10" s="1584"/>
      <c r="D10" s="1570"/>
      <c r="E10" s="1570"/>
    </row>
    <row r="11" spans="1:6" ht="4.5" customHeight="1" thickBot="1" x14ac:dyDescent="0.3">
      <c r="A11" s="1563"/>
      <c r="B11" s="1564"/>
      <c r="C11" s="1565"/>
    </row>
    <row r="12" spans="1:6" ht="81.75" thickBot="1" x14ac:dyDescent="0.3">
      <c r="A12" s="31" t="s">
        <v>2374</v>
      </c>
      <c r="B12" s="1566"/>
      <c r="C12" s="46" t="s">
        <v>2375</v>
      </c>
      <c r="D12" s="1568"/>
      <c r="E12" s="1570"/>
    </row>
    <row r="13" spans="1:6" ht="40.5" x14ac:dyDescent="0.25">
      <c r="A13" s="32" t="s">
        <v>2376</v>
      </c>
      <c r="B13" s="1566"/>
      <c r="C13" s="1572" t="s">
        <v>2377</v>
      </c>
      <c r="D13" s="1568"/>
      <c r="E13" s="1570"/>
    </row>
    <row r="14" spans="1:6" ht="27" x14ac:dyDescent="0.25">
      <c r="A14" s="33" t="s">
        <v>2378</v>
      </c>
      <c r="B14" s="1566"/>
      <c r="C14" s="1572"/>
      <c r="D14" s="1568"/>
      <c r="E14" s="1570"/>
    </row>
    <row r="15" spans="1:6" ht="40.5" x14ac:dyDescent="0.25">
      <c r="A15" s="33" t="s">
        <v>2379</v>
      </c>
      <c r="B15" s="1566"/>
      <c r="C15" s="1572"/>
      <c r="D15" s="1568"/>
      <c r="E15" s="1570"/>
    </row>
    <row r="16" spans="1:6" ht="27" x14ac:dyDescent="0.25">
      <c r="A16" s="33" t="s">
        <v>2380</v>
      </c>
      <c r="B16" s="1566"/>
      <c r="C16" s="1572"/>
      <c r="D16" s="1568"/>
      <c r="E16" s="1570"/>
    </row>
    <row r="17" spans="1:5" ht="27" x14ac:dyDescent="0.25">
      <c r="A17" s="33" t="s">
        <v>2381</v>
      </c>
      <c r="B17" s="1566"/>
      <c r="C17" s="1572"/>
      <c r="D17" s="1568"/>
      <c r="E17" s="1570"/>
    </row>
    <row r="18" spans="1:5" ht="27" x14ac:dyDescent="0.25">
      <c r="A18" s="33" t="s">
        <v>2382</v>
      </c>
      <c r="B18" s="1566"/>
      <c r="C18" s="1572"/>
      <c r="D18" s="1568"/>
      <c r="E18" s="1570"/>
    </row>
    <row r="19" spans="1:5" ht="27.75" thickBot="1" x14ac:dyDescent="0.3">
      <c r="A19" s="34" t="s">
        <v>2383</v>
      </c>
      <c r="B19" s="1567"/>
      <c r="C19" s="1572"/>
      <c r="D19" s="1569"/>
      <c r="E19" s="1571"/>
    </row>
    <row r="20" spans="1:5" ht="68.25" thickBot="1" x14ac:dyDescent="0.3">
      <c r="A20" s="35" t="s">
        <v>2384</v>
      </c>
      <c r="B20" s="36" t="s">
        <v>2385</v>
      </c>
      <c r="C20" s="1573"/>
      <c r="D20" s="37" t="s">
        <v>2386</v>
      </c>
      <c r="E20" s="38" t="s">
        <v>2367</v>
      </c>
    </row>
    <row r="21" spans="1:5" ht="27.75" thickBot="1" x14ac:dyDescent="0.3">
      <c r="A21" s="35" t="s">
        <v>2387</v>
      </c>
      <c r="B21" s="36"/>
      <c r="C21" s="550"/>
      <c r="D21" s="37"/>
      <c r="E21" s="38"/>
    </row>
    <row r="22" spans="1:5" ht="27.75" thickBot="1" x14ac:dyDescent="0.3">
      <c r="A22" s="35" t="s">
        <v>2388</v>
      </c>
      <c r="B22" s="36"/>
      <c r="C22" s="550"/>
      <c r="D22" s="37"/>
      <c r="E22" s="38"/>
    </row>
    <row r="23" spans="1:5" ht="150.75" thickBot="1" x14ac:dyDescent="0.3">
      <c r="A23" s="39" t="s">
        <v>2389</v>
      </c>
      <c r="B23" s="40" t="s">
        <v>2390</v>
      </c>
      <c r="C23" s="47" t="s">
        <v>2391</v>
      </c>
      <c r="D23" s="37" t="s">
        <v>2392</v>
      </c>
      <c r="E23" s="38" t="s">
        <v>2367</v>
      </c>
    </row>
    <row r="24" spans="1:5" ht="122.25" thickBot="1" x14ac:dyDescent="0.3">
      <c r="A24" s="41" t="s">
        <v>2393</v>
      </c>
      <c r="B24" s="40" t="s">
        <v>2394</v>
      </c>
      <c r="C24" s="48" t="s">
        <v>2377</v>
      </c>
      <c r="D24" s="37" t="s">
        <v>2395</v>
      </c>
      <c r="E24" s="38" t="s">
        <v>2367</v>
      </c>
    </row>
    <row r="25" spans="1:5" ht="120.75" thickBot="1" x14ac:dyDescent="0.3">
      <c r="A25" s="39" t="s">
        <v>2396</v>
      </c>
      <c r="B25" s="42" t="s">
        <v>2397</v>
      </c>
      <c r="C25" s="47" t="s">
        <v>2398</v>
      </c>
      <c r="D25" s="37" t="s">
        <v>2392</v>
      </c>
      <c r="E25" s="38" t="s">
        <v>2367</v>
      </c>
    </row>
    <row r="26" spans="1:5" x14ac:dyDescent="0.25">
      <c r="A26" s="43"/>
    </row>
    <row r="27" spans="1:5" x14ac:dyDescent="0.25">
      <c r="A27" s="45" t="s">
        <v>2399</v>
      </c>
    </row>
  </sheetData>
  <mergeCells count="11">
    <mergeCell ref="A1:A2"/>
    <mergeCell ref="B1:E2"/>
    <mergeCell ref="B4:B10"/>
    <mergeCell ref="C4:C10"/>
    <mergeCell ref="D4:D10"/>
    <mergeCell ref="E4:E10"/>
    <mergeCell ref="A11:C11"/>
    <mergeCell ref="B12:B19"/>
    <mergeCell ref="D12:D19"/>
    <mergeCell ref="E12:E19"/>
    <mergeCell ref="C13:C2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Q1163"/>
  <sheetViews>
    <sheetView showGridLines="0" tabSelected="1" zoomScale="70" zoomScaleNormal="70" workbookViewId="0">
      <selection activeCell="O8" sqref="O8"/>
    </sheetView>
  </sheetViews>
  <sheetFormatPr baseColWidth="10" defaultColWidth="50.42578125" defaultRowHeight="15" x14ac:dyDescent="0.25"/>
  <cols>
    <col min="1" max="1" width="20.5703125" style="463" customWidth="1"/>
    <col min="2" max="2" width="22" style="463" customWidth="1"/>
    <col min="3" max="3" width="18.140625" style="463" customWidth="1"/>
    <col min="4" max="4" width="25.140625" style="463" customWidth="1"/>
    <col min="5" max="5" width="12.85546875" style="463" customWidth="1"/>
    <col min="6" max="6" width="17" style="463" customWidth="1"/>
    <col min="7" max="7" width="16.28515625" style="463" customWidth="1"/>
    <col min="8" max="8" width="26.28515625" style="463" customWidth="1"/>
    <col min="9" max="9" width="17.42578125" style="463" customWidth="1"/>
    <col min="10" max="10" width="16.140625" style="463" customWidth="1"/>
    <col min="11" max="11" width="17.140625" style="206" customWidth="1"/>
    <col min="12" max="12" width="15.140625" style="463" customWidth="1"/>
    <col min="13" max="13" width="17.7109375" style="266" customWidth="1"/>
    <col min="14" max="14" width="22.85546875" style="463" customWidth="1"/>
    <col min="15" max="15" width="30.85546875" style="463" customWidth="1"/>
    <col min="16" max="16" width="15.140625" style="913" customWidth="1"/>
    <col min="17" max="17" width="18.85546875" style="463" customWidth="1"/>
    <col min="18" max="18" width="27" style="463" customWidth="1"/>
    <col min="19" max="19" width="31.42578125" style="206" customWidth="1"/>
    <col min="20" max="20" width="24.85546875" style="463" customWidth="1"/>
    <col min="21" max="21" width="27.140625" style="463" customWidth="1"/>
    <col min="22" max="22" width="20" style="206" customWidth="1"/>
    <col min="23" max="23" width="50.42578125" style="266"/>
    <col min="24" max="24" width="18.140625" style="463" customWidth="1"/>
    <col min="25" max="25" width="21" style="463" customWidth="1"/>
    <col min="26" max="26" width="18.42578125" style="463" customWidth="1"/>
    <col min="27" max="27" width="21" style="463" customWidth="1"/>
    <col min="28" max="28" width="22.28515625" style="463" customWidth="1"/>
    <col min="29" max="29" width="25" style="463" customWidth="1"/>
    <col min="30" max="30" width="22.42578125" style="463" customWidth="1"/>
    <col min="31" max="31" width="20.42578125" style="463" customWidth="1"/>
    <col min="32" max="32" width="29.7109375" style="463" hidden="1" customWidth="1"/>
    <col min="33" max="33" width="23.42578125" style="463" hidden="1" customWidth="1"/>
    <col min="34" max="34" width="26.7109375" style="206" hidden="1" customWidth="1"/>
    <col min="35" max="38" width="0" style="463" hidden="1" customWidth="1"/>
    <col min="39" max="39" width="0" style="206" hidden="1" customWidth="1"/>
    <col min="40" max="45" width="0" style="463" hidden="1" customWidth="1"/>
    <col min="46" max="46" width="0" style="206" hidden="1" customWidth="1"/>
    <col min="47" max="50" width="0" style="463" hidden="1" customWidth="1"/>
    <col min="51" max="51" width="0" style="30" hidden="1" customWidth="1"/>
    <col min="52" max="67" width="0" style="463" hidden="1" customWidth="1"/>
    <col min="68" max="69" width="0" style="206" hidden="1" customWidth="1"/>
    <col min="70" max="70" width="0" style="834" hidden="1" customWidth="1"/>
    <col min="71" max="72" width="0" style="30" hidden="1" customWidth="1"/>
    <col min="73" max="74" width="0" style="206" hidden="1" customWidth="1"/>
    <col min="75" max="75" width="0" style="30" hidden="1" customWidth="1"/>
    <col min="76" max="101" width="0" style="463" hidden="1" customWidth="1"/>
    <col min="102" max="16384" width="50.42578125" style="463"/>
  </cols>
  <sheetData>
    <row r="1" spans="1:303" ht="36" customHeight="1" x14ac:dyDescent="0.25">
      <c r="P1" s="463"/>
    </row>
    <row r="2" spans="1:303" ht="54.75" customHeight="1" thickBot="1" x14ac:dyDescent="0.3">
      <c r="L2" s="942" t="s">
        <v>21</v>
      </c>
      <c r="M2" s="943"/>
      <c r="N2" s="942"/>
      <c r="O2" s="942"/>
      <c r="P2" s="942"/>
      <c r="Q2" s="942"/>
      <c r="R2" s="942"/>
      <c r="S2" s="942"/>
      <c r="T2" s="942"/>
      <c r="U2" s="942"/>
      <c r="V2" s="942"/>
      <c r="W2" s="943"/>
      <c r="X2" s="942"/>
      <c r="Y2" s="942"/>
      <c r="Z2" s="942"/>
      <c r="AA2" s="942"/>
      <c r="AB2" s="942"/>
      <c r="AC2" s="942"/>
      <c r="AD2" s="942"/>
      <c r="AE2" s="942"/>
      <c r="AF2" s="942"/>
      <c r="AG2" s="942"/>
      <c r="AH2" s="942"/>
      <c r="AI2" s="942"/>
      <c r="AJ2" s="942"/>
      <c r="AK2" s="942"/>
      <c r="AL2" s="942"/>
      <c r="AM2" s="942"/>
      <c r="AN2" s="942"/>
      <c r="AO2" s="942"/>
      <c r="AP2" s="942"/>
      <c r="AQ2" s="942"/>
      <c r="AR2" s="942"/>
      <c r="AS2" s="942"/>
      <c r="AT2" s="942"/>
      <c r="AU2" s="942"/>
      <c r="AV2" s="942"/>
      <c r="AW2" s="942"/>
      <c r="AX2" s="942"/>
      <c r="AY2" s="942"/>
      <c r="AZ2" s="942"/>
      <c r="BA2" s="942"/>
      <c r="BB2" s="942"/>
      <c r="BC2" s="942"/>
      <c r="BD2" s="942"/>
      <c r="BE2" s="942"/>
    </row>
    <row r="3" spans="1:303" ht="54.75" hidden="1" customHeight="1" x14ac:dyDescent="0.25">
      <c r="L3" s="848"/>
      <c r="M3" s="849"/>
      <c r="N3" s="848"/>
      <c r="O3" s="848"/>
      <c r="P3" s="463"/>
      <c r="Q3" s="848"/>
      <c r="R3" s="918"/>
      <c r="S3" s="918"/>
      <c r="T3" s="919"/>
      <c r="U3" s="919"/>
      <c r="V3" s="848"/>
      <c r="W3" s="849"/>
      <c r="X3" s="851"/>
      <c r="Y3" s="851"/>
      <c r="Z3" s="851"/>
      <c r="AA3" s="851"/>
      <c r="AB3" s="848"/>
      <c r="AC3" s="848"/>
      <c r="AD3" s="848"/>
      <c r="AE3" s="848"/>
      <c r="AF3" s="848"/>
      <c r="AG3" s="848"/>
      <c r="AH3" s="848"/>
      <c r="AI3" s="848"/>
      <c r="AJ3" s="848"/>
      <c r="AK3" s="848"/>
      <c r="AL3" s="848"/>
      <c r="AM3" s="848"/>
      <c r="AN3" s="848"/>
      <c r="AO3" s="848"/>
      <c r="AP3" s="848"/>
      <c r="AQ3" s="848"/>
      <c r="AR3" s="848"/>
      <c r="AS3" s="848"/>
      <c r="AT3" s="848"/>
      <c r="AU3" s="848"/>
      <c r="AV3" s="848"/>
      <c r="AW3" s="848"/>
      <c r="AX3" s="848"/>
      <c r="AY3" s="848"/>
      <c r="AZ3" s="848"/>
      <c r="BA3" s="848"/>
      <c r="BB3" s="848"/>
      <c r="BC3" s="848"/>
      <c r="BD3" s="848"/>
      <c r="BE3" s="848"/>
      <c r="BV3" s="912">
        <f>BV4/BP4</f>
        <v>0.70298163092090582</v>
      </c>
      <c r="BX3" s="463">
        <f>BX4/AB4</f>
        <v>0.2890387497057928</v>
      </c>
      <c r="BY3" s="463">
        <f>BY4/AC4</f>
        <v>0.3198321001710997</v>
      </c>
      <c r="BZ3" s="463">
        <f>BZ4/AD4</f>
        <v>0.28653452157771575</v>
      </c>
      <c r="CE3" s="911">
        <f>CE4/CD4</f>
        <v>8.8666307669226225E-7</v>
      </c>
    </row>
    <row r="4" spans="1:303" ht="24.75" hidden="1" customHeight="1" thickBot="1" x14ac:dyDescent="0.3">
      <c r="P4" s="921"/>
      <c r="S4" s="920"/>
      <c r="X4" s="850"/>
      <c r="Y4" s="850"/>
      <c r="AB4" s="463">
        <f t="shared" ref="AB4:CJ4" si="0">SUBTOTAL(9,AB8:AB280)</f>
        <v>1900.0000000000002</v>
      </c>
      <c r="AC4" s="908">
        <f t="shared" si="0"/>
        <v>399.99286406926439</v>
      </c>
      <c r="AD4" s="908">
        <f t="shared" si="0"/>
        <v>100.07752795970713</v>
      </c>
      <c r="AE4" s="908">
        <f t="shared" si="0"/>
        <v>99.999999999999716</v>
      </c>
      <c r="AH4" s="463"/>
      <c r="AM4" s="463"/>
      <c r="AT4" s="463"/>
      <c r="AY4" s="463"/>
      <c r="BP4" s="463">
        <f t="shared" si="0"/>
        <v>107.19369963369965</v>
      </c>
      <c r="BQ4" s="463">
        <f t="shared" si="0"/>
        <v>0</v>
      </c>
      <c r="BR4" s="463">
        <f t="shared" si="0"/>
        <v>188.44290393816715</v>
      </c>
      <c r="BS4" s="463">
        <f t="shared" si="0"/>
        <v>0</v>
      </c>
      <c r="BT4" s="463">
        <f t="shared" si="0"/>
        <v>0</v>
      </c>
      <c r="BU4" s="463">
        <f t="shared" si="0"/>
        <v>0</v>
      </c>
      <c r="BV4" s="463">
        <f t="shared" si="0"/>
        <v>75.355201792943888</v>
      </c>
      <c r="BW4" s="463">
        <f t="shared" si="0"/>
        <v>0</v>
      </c>
      <c r="BX4" s="463">
        <f t="shared" si="0"/>
        <v>549.17362444100638</v>
      </c>
      <c r="BY4" s="463">
        <f t="shared" si="0"/>
        <v>127.93055776872603</v>
      </c>
      <c r="BZ4" s="463">
        <f t="shared" si="0"/>
        <v>28.675666594615155</v>
      </c>
      <c r="CA4" s="463">
        <f t="shared" si="0"/>
        <v>28.364113100671229</v>
      </c>
      <c r="CB4" s="463">
        <f t="shared" si="0"/>
        <v>185.71104395604371</v>
      </c>
      <c r="CC4" s="463">
        <f t="shared" si="0"/>
        <v>197710757.34066936</v>
      </c>
      <c r="CD4" s="463">
        <f t="shared" si="0"/>
        <v>197710942.39099887</v>
      </c>
      <c r="CE4" s="463">
        <f t="shared" si="0"/>
        <v>175.30299247612967</v>
      </c>
      <c r="CF4" s="910" t="e">
        <f t="shared" si="0"/>
        <v>#REF!</v>
      </c>
      <c r="CG4" s="463">
        <f t="shared" si="0"/>
        <v>0</v>
      </c>
      <c r="CH4" s="463">
        <f t="shared" si="0"/>
        <v>0</v>
      </c>
      <c r="CI4" s="463">
        <f t="shared" si="0"/>
        <v>0</v>
      </c>
      <c r="CJ4" s="463">
        <f t="shared" si="0"/>
        <v>0</v>
      </c>
    </row>
    <row r="5" spans="1:303" ht="20.25" customHeight="1" thickBot="1" x14ac:dyDescent="0.3">
      <c r="A5" s="931" t="s">
        <v>22</v>
      </c>
      <c r="B5" s="931"/>
      <c r="C5" s="931"/>
      <c r="D5" s="931"/>
      <c r="E5" s="931"/>
      <c r="F5" s="931"/>
      <c r="G5" s="931"/>
      <c r="H5" s="931"/>
      <c r="I5" s="931"/>
      <c r="J5" s="931"/>
      <c r="K5" s="421"/>
      <c r="L5" s="464"/>
      <c r="M5" s="464"/>
      <c r="N5" s="464"/>
      <c r="O5" s="464"/>
      <c r="P5" s="464"/>
      <c r="Q5" s="464"/>
      <c r="R5" s="464"/>
      <c r="S5" s="421"/>
      <c r="T5" s="464"/>
      <c r="U5" s="464"/>
      <c r="V5" s="421"/>
      <c r="W5" s="833"/>
      <c r="X5" s="464"/>
      <c r="Y5" s="464"/>
      <c r="Z5" s="465"/>
      <c r="AA5" s="466"/>
      <c r="AB5" s="935"/>
      <c r="AC5" s="935"/>
      <c r="AD5" s="935"/>
      <c r="AE5" s="936"/>
      <c r="AF5" s="933" t="s">
        <v>23</v>
      </c>
      <c r="AG5" s="933"/>
      <c r="AH5" s="933"/>
      <c r="AI5" s="933"/>
      <c r="AJ5" s="933"/>
      <c r="AK5" s="933"/>
      <c r="AL5" s="933"/>
      <c r="AM5" s="933"/>
      <c r="AN5" s="933"/>
      <c r="AO5" s="933"/>
      <c r="AP5" s="933"/>
      <c r="AQ5" s="933"/>
      <c r="AR5" s="932" t="s">
        <v>24</v>
      </c>
      <c r="AS5" s="933"/>
      <c r="AT5" s="933"/>
      <c r="AU5" s="933"/>
      <c r="AV5" s="933"/>
      <c r="AW5" s="933"/>
      <c r="AX5" s="933"/>
      <c r="AY5" s="933"/>
      <c r="AZ5" s="933"/>
      <c r="BA5" s="933"/>
      <c r="BB5" s="933"/>
      <c r="BC5" s="934"/>
      <c r="BD5" s="944" t="s">
        <v>25</v>
      </c>
      <c r="BE5" s="945"/>
      <c r="BF5" s="945"/>
      <c r="BG5" s="945"/>
      <c r="BH5" s="945"/>
      <c r="BI5" s="945"/>
      <c r="BJ5" s="945"/>
      <c r="BK5" s="945"/>
      <c r="BL5" s="945"/>
      <c r="BM5" s="945"/>
      <c r="BN5" s="945"/>
      <c r="BO5" s="945"/>
      <c r="BP5" s="946" t="s">
        <v>26</v>
      </c>
      <c r="BQ5" s="947"/>
      <c r="BR5" s="948"/>
      <c r="BS5" s="947"/>
      <c r="BT5" s="947"/>
      <c r="BU5" s="947"/>
      <c r="BV5" s="947"/>
      <c r="BW5" s="949"/>
      <c r="BX5" s="947"/>
      <c r="BY5" s="947"/>
      <c r="BZ5" s="947"/>
      <c r="CA5" s="950"/>
      <c r="CB5" s="644"/>
    </row>
    <row r="6" spans="1:303" ht="13.5" hidden="1" customHeight="1" x14ac:dyDescent="0.25">
      <c r="A6" s="467"/>
      <c r="B6" s="467"/>
      <c r="C6" s="467"/>
      <c r="D6" s="467"/>
      <c r="E6" s="467"/>
      <c r="F6" s="467"/>
      <c r="G6" s="467"/>
      <c r="H6" s="467"/>
      <c r="I6" s="467"/>
      <c r="J6" s="467"/>
      <c r="K6" s="422"/>
      <c r="L6" s="467"/>
      <c r="M6" s="929"/>
      <c r="N6" s="467"/>
      <c r="O6" s="467"/>
      <c r="P6" s="464"/>
      <c r="Q6" s="468"/>
      <c r="R6" s="468"/>
      <c r="S6" s="488"/>
      <c r="T6" s="468"/>
      <c r="U6" s="468"/>
      <c r="V6" s="488"/>
      <c r="W6" s="495"/>
      <c r="X6" s="468">
        <f t="shared" ref="X6:AF6" si="1">SUBTOTAL(9,X8:X268)</f>
        <v>197710694.92497325</v>
      </c>
      <c r="Y6" s="468">
        <f t="shared" si="1"/>
        <v>59.952838827838853</v>
      </c>
      <c r="Z6" s="468">
        <f t="shared" si="1"/>
        <v>73.938772893772864</v>
      </c>
      <c r="AA6" s="469">
        <f t="shared" si="1"/>
        <v>101.57441391941391</v>
      </c>
      <c r="AB6" s="470"/>
      <c r="AC6" s="471">
        <f t="shared" si="1"/>
        <v>388.11167595045271</v>
      </c>
      <c r="AD6" s="470">
        <f t="shared" si="1"/>
        <v>94.655305959707093</v>
      </c>
      <c r="AE6" s="471">
        <f t="shared" si="1"/>
        <v>95.472727272727013</v>
      </c>
      <c r="AF6" s="471">
        <f t="shared" si="1"/>
        <v>197710694.92497325</v>
      </c>
      <c r="AH6" s="463"/>
      <c r="AL6" s="463">
        <f>SUBTOTAL(9,AL8:AL268)</f>
        <v>10.699050573082831</v>
      </c>
      <c r="AM6" s="463"/>
      <c r="AR6" s="463">
        <f t="shared" ref="AR6:AX6" si="2">SUBTOTAL(9,AR8:AR268)</f>
        <v>59.952838827838853</v>
      </c>
      <c r="AS6" s="463">
        <f t="shared" si="2"/>
        <v>0</v>
      </c>
      <c r="AT6" s="463">
        <f t="shared" si="2"/>
        <v>129.66362902868656</v>
      </c>
      <c r="AU6" s="463">
        <f t="shared" si="2"/>
        <v>0</v>
      </c>
      <c r="AV6" s="463">
        <f t="shared" si="2"/>
        <v>0</v>
      </c>
      <c r="AW6" s="463">
        <f t="shared" si="2"/>
        <v>0</v>
      </c>
      <c r="AX6" s="463">
        <f t="shared" si="2"/>
        <v>39.520219102189365</v>
      </c>
      <c r="AY6" s="463"/>
      <c r="BD6" s="463">
        <f>SUBTOTAL(9,BD8:BD268)</f>
        <v>73.938772893772864</v>
      </c>
      <c r="BE6" s="463">
        <f>SUBTOTAL(9,BE8:BE268)</f>
        <v>0</v>
      </c>
      <c r="BP6" s="463"/>
      <c r="BQ6" s="463"/>
      <c r="BR6" s="463"/>
      <c r="BU6" s="463"/>
      <c r="BV6" s="463"/>
      <c r="BW6" s="463"/>
    </row>
    <row r="7" spans="1:303" s="2" customFormat="1" ht="111.75" customHeight="1" x14ac:dyDescent="0.25">
      <c r="A7" s="531" t="s">
        <v>27</v>
      </c>
      <c r="B7" s="531" t="s">
        <v>28</v>
      </c>
      <c r="C7" s="531" t="s">
        <v>29</v>
      </c>
      <c r="D7" s="531" t="s">
        <v>30</v>
      </c>
      <c r="E7" s="531" t="s">
        <v>31</v>
      </c>
      <c r="F7" s="531" t="s">
        <v>32</v>
      </c>
      <c r="G7" s="531" t="s">
        <v>33</v>
      </c>
      <c r="H7" s="531" t="s">
        <v>34</v>
      </c>
      <c r="I7" s="531" t="s">
        <v>35</v>
      </c>
      <c r="J7" s="531" t="s">
        <v>36</v>
      </c>
      <c r="K7" s="531" t="s">
        <v>37</v>
      </c>
      <c r="L7" s="531" t="s">
        <v>38</v>
      </c>
      <c r="M7" s="531" t="s">
        <v>39</v>
      </c>
      <c r="N7" s="531" t="s">
        <v>40</v>
      </c>
      <c r="O7" s="531" t="s">
        <v>41</v>
      </c>
      <c r="P7" s="531" t="s">
        <v>43</v>
      </c>
      <c r="Q7" s="531" t="s">
        <v>44</v>
      </c>
      <c r="R7" s="531" t="s">
        <v>45</v>
      </c>
      <c r="S7" s="531" t="s">
        <v>46</v>
      </c>
      <c r="T7" s="531" t="s">
        <v>47</v>
      </c>
      <c r="U7" s="531" t="s">
        <v>48</v>
      </c>
      <c r="V7" s="531" t="s">
        <v>49</v>
      </c>
      <c r="W7" s="531" t="s">
        <v>50</v>
      </c>
      <c r="X7" s="531" t="s">
        <v>51</v>
      </c>
      <c r="Y7" s="531" t="s">
        <v>52</v>
      </c>
      <c r="Z7" s="531" t="s">
        <v>53</v>
      </c>
      <c r="AA7" s="531" t="s">
        <v>54</v>
      </c>
      <c r="AB7" s="527" t="s">
        <v>55</v>
      </c>
      <c r="AC7" s="526" t="s">
        <v>56</v>
      </c>
      <c r="AD7" s="526" t="s">
        <v>57</v>
      </c>
      <c r="AE7" s="526" t="s">
        <v>58</v>
      </c>
      <c r="AF7" s="690" t="s">
        <v>59</v>
      </c>
      <c r="AG7" s="690" t="s">
        <v>60</v>
      </c>
      <c r="AH7" s="690" t="s">
        <v>61</v>
      </c>
      <c r="AI7" s="690" t="s">
        <v>62</v>
      </c>
      <c r="AJ7" s="690" t="s">
        <v>63</v>
      </c>
      <c r="AK7" s="690" t="s">
        <v>64</v>
      </c>
      <c r="AL7" s="690" t="s">
        <v>65</v>
      </c>
      <c r="AM7" s="690" t="s">
        <v>66</v>
      </c>
      <c r="AN7" s="690" t="s">
        <v>67</v>
      </c>
      <c r="AO7" s="690" t="s">
        <v>68</v>
      </c>
      <c r="AP7" s="690" t="s">
        <v>69</v>
      </c>
      <c r="AQ7" s="691" t="s">
        <v>70</v>
      </c>
      <c r="AR7" s="423" t="s">
        <v>71</v>
      </c>
      <c r="AS7" s="728" t="s">
        <v>60</v>
      </c>
      <c r="AT7" s="728" t="s">
        <v>61</v>
      </c>
      <c r="AU7" s="728" t="s">
        <v>62</v>
      </c>
      <c r="AV7" s="728" t="s">
        <v>63</v>
      </c>
      <c r="AW7" s="728" t="s">
        <v>64</v>
      </c>
      <c r="AX7" s="728" t="s">
        <v>65</v>
      </c>
      <c r="AY7" s="728" t="s">
        <v>66</v>
      </c>
      <c r="AZ7" s="728" t="s">
        <v>67</v>
      </c>
      <c r="BA7" s="728" t="s">
        <v>68</v>
      </c>
      <c r="BB7" s="728" t="s">
        <v>69</v>
      </c>
      <c r="BC7" s="472" t="s">
        <v>70</v>
      </c>
      <c r="BD7" s="472" t="s">
        <v>72</v>
      </c>
      <c r="BE7" s="803" t="s">
        <v>60</v>
      </c>
      <c r="BF7" s="803" t="s">
        <v>61</v>
      </c>
      <c r="BG7" s="803" t="s">
        <v>62</v>
      </c>
      <c r="BH7" s="803" t="s">
        <v>63</v>
      </c>
      <c r="BI7" s="803" t="s">
        <v>64</v>
      </c>
      <c r="BJ7" s="803" t="s">
        <v>65</v>
      </c>
      <c r="BK7" s="803" t="s">
        <v>66</v>
      </c>
      <c r="BL7" s="803" t="s">
        <v>67</v>
      </c>
      <c r="BM7" s="803" t="s">
        <v>68</v>
      </c>
      <c r="BN7" s="803" t="s">
        <v>69</v>
      </c>
      <c r="BO7" s="803" t="s">
        <v>70</v>
      </c>
      <c r="BP7" s="795" t="s">
        <v>73</v>
      </c>
      <c r="BQ7" s="804" t="s">
        <v>60</v>
      </c>
      <c r="BR7" s="843" t="s">
        <v>61</v>
      </c>
      <c r="BS7" s="804" t="s">
        <v>62</v>
      </c>
      <c r="BT7" s="804" t="s">
        <v>63</v>
      </c>
      <c r="BU7" s="804" t="s">
        <v>64</v>
      </c>
      <c r="BV7" s="804" t="s">
        <v>65</v>
      </c>
      <c r="BW7" s="804" t="s">
        <v>66</v>
      </c>
      <c r="BX7" s="804" t="s">
        <v>67</v>
      </c>
      <c r="BY7" s="804" t="s">
        <v>68</v>
      </c>
      <c r="BZ7" s="804" t="s">
        <v>69</v>
      </c>
      <c r="CA7" s="805" t="s">
        <v>70</v>
      </c>
      <c r="CB7" s="638" t="s">
        <v>74</v>
      </c>
      <c r="CC7" s="638" t="s">
        <v>75</v>
      </c>
      <c r="CD7" s="638" t="s">
        <v>76</v>
      </c>
      <c r="CE7" s="638" t="s">
        <v>77</v>
      </c>
      <c r="CF7" s="638" t="s">
        <v>78</v>
      </c>
      <c r="CG7" s="638" t="s">
        <v>67</v>
      </c>
      <c r="CH7" s="638" t="s">
        <v>68</v>
      </c>
      <c r="CI7" s="638" t="s">
        <v>69</v>
      </c>
      <c r="CJ7" s="638" t="s">
        <v>70</v>
      </c>
      <c r="CK7" s="3"/>
      <c r="CL7" s="3"/>
      <c r="CM7" s="3"/>
      <c r="CN7" s="3"/>
      <c r="CO7" s="3"/>
      <c r="CP7" s="3"/>
      <c r="CQ7" s="3"/>
      <c r="CR7" s="3"/>
      <c r="CS7" s="3"/>
      <c r="CT7" s="3"/>
      <c r="CU7" s="3"/>
      <c r="CV7" s="3"/>
      <c r="CW7" s="3"/>
      <c r="CX7" s="3"/>
      <c r="CY7" s="3"/>
      <c r="CZ7" s="3"/>
      <c r="DA7" s="3"/>
      <c r="DB7" s="3"/>
      <c r="DC7" s="3"/>
      <c r="DD7" s="3"/>
      <c r="DE7" s="3"/>
      <c r="DF7" s="3"/>
      <c r="DG7" s="3"/>
      <c r="DH7" s="3"/>
      <c r="DI7" s="3"/>
      <c r="DJ7" s="3"/>
      <c r="DK7" s="3"/>
      <c r="DL7" s="3"/>
      <c r="DM7" s="3"/>
      <c r="DN7" s="3"/>
      <c r="DO7" s="3"/>
      <c r="DP7" s="3"/>
      <c r="DQ7" s="3"/>
      <c r="DR7" s="3"/>
      <c r="DS7" s="3"/>
      <c r="DT7" s="3"/>
      <c r="DU7" s="3"/>
      <c r="DV7" s="3"/>
      <c r="DW7" s="3"/>
      <c r="DX7" s="3"/>
      <c r="DY7" s="3"/>
      <c r="DZ7" s="3"/>
      <c r="EA7" s="3"/>
      <c r="EB7" s="3"/>
      <c r="EC7" s="3"/>
      <c r="ED7" s="3"/>
      <c r="EE7" s="3"/>
      <c r="EF7" s="3"/>
      <c r="EG7" s="3"/>
      <c r="EH7" s="3"/>
      <c r="EI7" s="3"/>
      <c r="EJ7" s="3"/>
      <c r="EK7" s="3"/>
      <c r="EL7" s="3"/>
      <c r="EM7" s="3"/>
      <c r="EN7" s="3"/>
      <c r="EO7" s="3"/>
      <c r="EP7" s="3"/>
      <c r="EQ7" s="3"/>
      <c r="ER7" s="3"/>
      <c r="ES7" s="3"/>
      <c r="ET7" s="3"/>
      <c r="EU7" s="3"/>
      <c r="EV7" s="3"/>
      <c r="EW7" s="3"/>
      <c r="EX7" s="3"/>
      <c r="EY7" s="3"/>
      <c r="EZ7" s="3"/>
      <c r="FA7" s="3"/>
      <c r="FB7" s="3"/>
      <c r="FC7" s="3"/>
      <c r="FD7" s="3"/>
      <c r="FE7" s="3"/>
      <c r="FF7" s="3"/>
      <c r="FG7" s="3"/>
      <c r="FH7" s="3"/>
      <c r="FI7" s="3"/>
      <c r="FJ7" s="3"/>
      <c r="FK7" s="3"/>
      <c r="FL7" s="3"/>
      <c r="FM7" s="3"/>
      <c r="FN7" s="3"/>
      <c r="FO7" s="3"/>
      <c r="FP7" s="3"/>
      <c r="FQ7" s="3"/>
      <c r="FR7" s="3"/>
      <c r="FS7" s="3"/>
      <c r="FT7" s="3"/>
      <c r="FU7" s="3"/>
      <c r="FV7" s="3"/>
      <c r="FW7" s="3"/>
      <c r="FX7" s="3"/>
      <c r="FY7" s="3"/>
      <c r="FZ7" s="3"/>
      <c r="GA7" s="3"/>
      <c r="GB7" s="3"/>
      <c r="GC7" s="3"/>
      <c r="GD7" s="3"/>
      <c r="GE7" s="3"/>
      <c r="GF7" s="3"/>
      <c r="GG7" s="3"/>
      <c r="GH7" s="3"/>
      <c r="GI7" s="3"/>
      <c r="GJ7" s="3"/>
      <c r="GK7" s="3"/>
      <c r="GL7" s="3"/>
      <c r="GM7" s="3"/>
      <c r="GN7" s="3"/>
      <c r="GO7" s="3"/>
      <c r="GP7" s="3"/>
      <c r="GQ7" s="3"/>
      <c r="GR7" s="3"/>
      <c r="GS7" s="3"/>
      <c r="GT7" s="3"/>
      <c r="GU7" s="3"/>
      <c r="GV7" s="3"/>
      <c r="GW7" s="3"/>
      <c r="GX7" s="3"/>
      <c r="GY7" s="3"/>
      <c r="GZ7" s="3"/>
      <c r="HA7" s="3"/>
      <c r="HB7" s="3"/>
      <c r="HC7" s="3"/>
      <c r="HD7" s="3"/>
      <c r="HE7" s="3"/>
      <c r="HF7" s="3"/>
      <c r="HG7" s="3"/>
      <c r="HH7" s="3"/>
      <c r="HI7" s="3"/>
      <c r="HJ7" s="3"/>
      <c r="HK7" s="3"/>
      <c r="HL7" s="3"/>
      <c r="HM7" s="3"/>
      <c r="HN7" s="3"/>
      <c r="HO7" s="3"/>
      <c r="HP7" s="3"/>
      <c r="HQ7" s="3"/>
      <c r="HR7" s="3"/>
      <c r="HS7" s="3"/>
      <c r="HT7" s="3"/>
      <c r="HU7" s="3"/>
      <c r="HV7" s="3"/>
      <c r="HW7" s="3"/>
      <c r="HX7" s="3"/>
      <c r="HY7" s="3"/>
      <c r="HZ7" s="3"/>
      <c r="IA7" s="3"/>
      <c r="IB7" s="3"/>
      <c r="IC7" s="3"/>
      <c r="ID7" s="3"/>
      <c r="IE7" s="3"/>
      <c r="IF7" s="3"/>
      <c r="IG7" s="3"/>
      <c r="IH7" s="3"/>
      <c r="II7" s="3"/>
      <c r="IJ7" s="3"/>
      <c r="IK7" s="3"/>
      <c r="IL7" s="3"/>
      <c r="IM7" s="3"/>
      <c r="IN7" s="3"/>
      <c r="IO7" s="3"/>
      <c r="IP7" s="3"/>
      <c r="IQ7" s="3"/>
      <c r="IR7" s="3"/>
      <c r="IS7" s="3"/>
      <c r="IT7" s="3"/>
      <c r="IU7" s="3"/>
      <c r="IV7" s="3"/>
      <c r="IW7" s="3"/>
      <c r="IX7" s="3"/>
      <c r="IY7" s="3"/>
      <c r="IZ7" s="3"/>
      <c r="JA7" s="3"/>
      <c r="JB7" s="3"/>
      <c r="JC7" s="3"/>
      <c r="JD7" s="3"/>
      <c r="JE7" s="3"/>
      <c r="JF7" s="3"/>
      <c r="JG7" s="3"/>
      <c r="JH7" s="3"/>
      <c r="JI7" s="3"/>
      <c r="JJ7" s="3"/>
      <c r="JK7" s="3"/>
      <c r="JL7" s="3"/>
      <c r="JM7" s="3"/>
      <c r="JN7" s="3"/>
      <c r="JO7" s="3"/>
      <c r="JP7" s="3"/>
      <c r="JQ7" s="3"/>
      <c r="JR7" s="3"/>
      <c r="JS7" s="3"/>
      <c r="JT7" s="3"/>
      <c r="JU7" s="3"/>
      <c r="JV7" s="3"/>
      <c r="JW7" s="3"/>
      <c r="JX7" s="3"/>
      <c r="JY7" s="3"/>
      <c r="JZ7" s="3"/>
      <c r="KA7" s="3"/>
      <c r="KB7" s="3"/>
      <c r="KC7" s="3"/>
      <c r="KD7" s="3"/>
      <c r="KE7" s="3"/>
      <c r="KF7" s="3"/>
      <c r="KG7" s="3"/>
      <c r="KH7" s="3"/>
      <c r="KI7" s="3"/>
      <c r="KJ7" s="3"/>
      <c r="KK7" s="3"/>
      <c r="KL7" s="3"/>
      <c r="KM7" s="3"/>
      <c r="KN7" s="3"/>
      <c r="KO7" s="3"/>
      <c r="KP7" s="3"/>
      <c r="KQ7" s="3"/>
    </row>
    <row r="8" spans="1:303" s="2" customFormat="1" ht="327.75" x14ac:dyDescent="0.25">
      <c r="A8" s="349" t="s">
        <v>79</v>
      </c>
      <c r="B8" s="349" t="s">
        <v>80</v>
      </c>
      <c r="C8" s="349" t="s">
        <v>81</v>
      </c>
      <c r="D8" s="349" t="s">
        <v>82</v>
      </c>
      <c r="E8" s="349" t="s">
        <v>83</v>
      </c>
      <c r="F8" s="349" t="s">
        <v>84</v>
      </c>
      <c r="G8" s="349" t="s">
        <v>85</v>
      </c>
      <c r="H8" s="349" t="s">
        <v>86</v>
      </c>
      <c r="I8" s="349" t="s">
        <v>87</v>
      </c>
      <c r="J8" s="349" t="s">
        <v>88</v>
      </c>
      <c r="K8" s="361" t="s">
        <v>4</v>
      </c>
      <c r="L8" s="361" t="s">
        <v>89</v>
      </c>
      <c r="M8" s="457" t="s">
        <v>90</v>
      </c>
      <c r="N8" s="361" t="s">
        <v>91</v>
      </c>
      <c r="O8" s="361" t="s">
        <v>92</v>
      </c>
      <c r="P8" s="922">
        <v>39542143</v>
      </c>
      <c r="Q8" s="361" t="s">
        <v>94</v>
      </c>
      <c r="R8" s="361" t="s">
        <v>95</v>
      </c>
      <c r="S8" s="362">
        <v>17</v>
      </c>
      <c r="T8" s="363" t="s">
        <v>96</v>
      </c>
      <c r="U8" s="363" t="s">
        <v>97</v>
      </c>
      <c r="V8" s="361" t="s">
        <v>98</v>
      </c>
      <c r="W8" s="363" t="s">
        <v>99</v>
      </c>
      <c r="X8" s="434">
        <v>0.35</v>
      </c>
      <c r="Y8" s="435">
        <v>0.17</v>
      </c>
      <c r="Z8" s="435">
        <v>0.24</v>
      </c>
      <c r="AA8" s="513">
        <v>0.24</v>
      </c>
      <c r="AB8" s="525">
        <v>7.7</v>
      </c>
      <c r="AC8" s="413">
        <v>1.2987012987012987</v>
      </c>
      <c r="AD8" s="413">
        <v>0.37179461538461539</v>
      </c>
      <c r="AE8" s="413">
        <v>0.37727272727272726</v>
      </c>
      <c r="AF8" s="692">
        <f t="shared" ref="AF8:AF44" si="3">X8</f>
        <v>0.35</v>
      </c>
      <c r="AG8" s="693" t="s">
        <v>100</v>
      </c>
      <c r="AH8" s="694">
        <f>6/6</f>
        <v>1</v>
      </c>
      <c r="AI8" s="695" t="s">
        <v>101</v>
      </c>
      <c r="AJ8" s="696"/>
      <c r="AK8" s="693" t="str">
        <f>+IF(AND(AH8&gt;=0%,AH8&lt;=60%),"BAJO",IF(AND(AH8&gt;=61%,AH8&lt;=80%),"MEDIO","ALTO"))</f>
        <v>ALTO</v>
      </c>
      <c r="AL8" s="692">
        <f>AF8*AH8</f>
        <v>0.35</v>
      </c>
      <c r="AM8" s="697" t="s">
        <v>102</v>
      </c>
      <c r="AN8" s="693">
        <f>AL8*AB8</f>
        <v>2.6949999999999998</v>
      </c>
      <c r="AO8" s="693">
        <f>AL8*AC8</f>
        <v>0.45454545454545453</v>
      </c>
      <c r="AP8" s="693">
        <f>AL8*AD8</f>
        <v>0.13012811538461538</v>
      </c>
      <c r="AQ8" s="693"/>
      <c r="AR8" s="401">
        <f t="shared" ref="AR8:AR21" si="4">Y8</f>
        <v>0.17</v>
      </c>
      <c r="AS8" s="402" t="s">
        <v>100</v>
      </c>
      <c r="AT8" s="405">
        <f>3/3</f>
        <v>1</v>
      </c>
      <c r="AU8" s="403" t="s">
        <v>101</v>
      </c>
      <c r="AV8" s="402"/>
      <c r="AW8" s="729" t="str">
        <f>+IF(AND(AT8&gt;=0%,AT8&lt;=60%),"BAJO",IF(AND(AT8&gt;=61%,AT8&lt;=80%),"MEDIO","ALTO"))</f>
        <v>ALTO</v>
      </c>
      <c r="AX8" s="397">
        <f>AR8*AT8</f>
        <v>0.17</v>
      </c>
      <c r="AY8" s="399" t="s">
        <v>102</v>
      </c>
      <c r="AZ8" s="398">
        <f>AX8*AB8</f>
        <v>1.3090000000000002</v>
      </c>
      <c r="BA8" s="398">
        <f>AX8*AC8</f>
        <v>0.2207792207792208</v>
      </c>
      <c r="BB8" s="398">
        <f>AX8*AD8</f>
        <v>6.3205084615384627E-2</v>
      </c>
      <c r="BC8" s="15"/>
      <c r="BD8" s="14">
        <f t="shared" ref="BD8:BD21" si="5">Z8</f>
        <v>0.24</v>
      </c>
      <c r="BE8" s="796" t="s">
        <v>100</v>
      </c>
      <c r="BF8" s="797">
        <f>3/3</f>
        <v>1</v>
      </c>
      <c r="BG8" s="798" t="s">
        <v>101</v>
      </c>
      <c r="BH8" s="799" t="s">
        <v>103</v>
      </c>
      <c r="BI8" s="800" t="str">
        <f>+IF(AND(BF8&gt;=0%,BF8&lt;=60%),"BAJO",IF(AND(BF8&gt;=61%,BF8&lt;=80%),"MEDIO","ALTO"))</f>
        <v>ALTO</v>
      </c>
      <c r="BJ8" s="801">
        <f>BD8*BF8</f>
        <v>0.24</v>
      </c>
      <c r="BK8" s="802" t="s">
        <v>104</v>
      </c>
      <c r="BL8" s="797">
        <f>BJ8/AB8</f>
        <v>3.1168831168831165E-2</v>
      </c>
      <c r="BM8" s="797">
        <f>BJ8/AC8</f>
        <v>0.18479999999999999</v>
      </c>
      <c r="BN8" s="797">
        <f>BJ8/AD8</f>
        <v>0.64551768656392172</v>
      </c>
      <c r="BO8" s="800"/>
      <c r="BP8" s="853">
        <f t="shared" ref="BP8:BP20" si="6">AA8</f>
        <v>0.24</v>
      </c>
      <c r="BQ8" s="854" t="s">
        <v>105</v>
      </c>
      <c r="BR8" s="855">
        <v>1</v>
      </c>
      <c r="BS8" s="856" t="s">
        <v>106</v>
      </c>
      <c r="BT8" s="857"/>
      <c r="BU8" s="905" t="str">
        <f>+IF(AND(BR8&gt;=0%,BR8&lt;=60%),"BAJO",IF(AND(BR8&gt;=61%,BR8&lt;=80%),"MEDIO","ALTO"))</f>
        <v>ALTO</v>
      </c>
      <c r="BV8" s="875">
        <f>BP8*BR8</f>
        <v>0.24</v>
      </c>
      <c r="BW8" s="858" t="s">
        <v>107</v>
      </c>
      <c r="BX8" s="857">
        <f>BV8*AB8</f>
        <v>1.8479999999999999</v>
      </c>
      <c r="BY8" s="857">
        <f>BV8*AC8</f>
        <v>0.31168831168831168</v>
      </c>
      <c r="BZ8" s="857">
        <f>BV8*AD8</f>
        <v>8.923070769230769E-2</v>
      </c>
      <c r="CA8" s="857">
        <f>BV8*AE8</f>
        <v>9.054545454545454E-2</v>
      </c>
      <c r="CB8" s="16">
        <f>SUM(BD8+BP8)</f>
        <v>0.48</v>
      </c>
      <c r="CC8" s="16">
        <f>AF8+AR8</f>
        <v>0.52</v>
      </c>
      <c r="CD8" s="16">
        <f t="shared" ref="CD8:CD21" si="7">SUM(X8+Y8+Z8+AA8)</f>
        <v>1</v>
      </c>
      <c r="CE8" s="16">
        <f>SUM(AL8+AX8+BJ8+BV8)</f>
        <v>1</v>
      </c>
      <c r="CF8" s="16" t="e">
        <f>SUM(#REF!/(CC8+CB8))</f>
        <v>#REF!</v>
      </c>
      <c r="CG8" s="17"/>
      <c r="CH8" s="17"/>
      <c r="CI8" s="17"/>
      <c r="CJ8" s="17"/>
      <c r="CK8" s="1"/>
      <c r="CL8" s="1"/>
      <c r="CM8" s="1"/>
      <c r="CN8" s="1"/>
      <c r="CO8" s="1"/>
      <c r="CP8" s="1"/>
      <c r="CQ8" s="1"/>
      <c r="CR8" s="1"/>
      <c r="CS8" s="1"/>
      <c r="CT8" s="1"/>
      <c r="CU8" s="1"/>
      <c r="CV8" s="346">
        <f t="shared" ref="CV8:CV23" si="8">SUM(X8:AA8)</f>
        <v>1</v>
      </c>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row>
    <row r="9" spans="1:303" s="2" customFormat="1" ht="342" customHeight="1" x14ac:dyDescent="0.25">
      <c r="A9" s="350" t="s">
        <v>79</v>
      </c>
      <c r="B9" s="350" t="s">
        <v>80</v>
      </c>
      <c r="C9" s="350" t="s">
        <v>81</v>
      </c>
      <c r="D9" s="350" t="s">
        <v>82</v>
      </c>
      <c r="E9" s="350" t="s">
        <v>83</v>
      </c>
      <c r="F9" s="350" t="s">
        <v>84</v>
      </c>
      <c r="G9" s="350" t="s">
        <v>85</v>
      </c>
      <c r="H9" s="350" t="s">
        <v>86</v>
      </c>
      <c r="I9" s="350" t="s">
        <v>87</v>
      </c>
      <c r="J9" s="350" t="s">
        <v>88</v>
      </c>
      <c r="K9" s="364" t="s">
        <v>4</v>
      </c>
      <c r="L9" s="364" t="s">
        <v>89</v>
      </c>
      <c r="M9" s="456" t="s">
        <v>108</v>
      </c>
      <c r="N9" s="361" t="s">
        <v>91</v>
      </c>
      <c r="O9" s="361" t="s">
        <v>92</v>
      </c>
      <c r="P9" s="922">
        <v>39542136.277533107</v>
      </c>
      <c r="Q9" s="364" t="s">
        <v>94</v>
      </c>
      <c r="R9" s="361" t="s">
        <v>95</v>
      </c>
      <c r="S9" s="365">
        <v>12</v>
      </c>
      <c r="T9" s="366" t="s">
        <v>109</v>
      </c>
      <c r="U9" s="366" t="s">
        <v>110</v>
      </c>
      <c r="V9" s="364" t="s">
        <v>98</v>
      </c>
      <c r="W9" s="366" t="s">
        <v>111</v>
      </c>
      <c r="X9" s="436">
        <v>0.25</v>
      </c>
      <c r="Y9" s="436">
        <v>0.25</v>
      </c>
      <c r="Z9" s="436">
        <v>0.25</v>
      </c>
      <c r="AA9" s="515">
        <v>0.25</v>
      </c>
      <c r="AB9" s="525">
        <v>7.7</v>
      </c>
      <c r="AC9" s="413">
        <v>1.2987012987012987</v>
      </c>
      <c r="AD9" s="413">
        <v>0.37179461538461539</v>
      </c>
      <c r="AE9" s="413">
        <v>0.37727272727272726</v>
      </c>
      <c r="AF9" s="692">
        <f t="shared" si="3"/>
        <v>0.25</v>
      </c>
      <c r="AG9" s="693" t="s">
        <v>100</v>
      </c>
      <c r="AH9" s="694">
        <f>3/3</f>
        <v>1</v>
      </c>
      <c r="AI9" s="695" t="s">
        <v>101</v>
      </c>
      <c r="AJ9" s="695"/>
      <c r="AK9" s="693" t="str">
        <f>+IF(AND(AH9&gt;=0%,AH9&lt;=60%),"BAJO",IF(AND(AH9&gt;=61%,AH9&lt;=80%),"MEDIO","ALTO"))</f>
        <v>ALTO</v>
      </c>
      <c r="AL9" s="692">
        <f t="shared" ref="AL9:AL21" si="9">AF9*AH9</f>
        <v>0.25</v>
      </c>
      <c r="AM9" s="697" t="s">
        <v>102</v>
      </c>
      <c r="AN9" s="693">
        <f t="shared" ref="AN9:AN21" si="10">AL9*AB9</f>
        <v>1.925</v>
      </c>
      <c r="AO9" s="693">
        <f t="shared" ref="AO9:AO21" si="11">AL9*AC9</f>
        <v>0.32467532467532467</v>
      </c>
      <c r="AP9" s="693">
        <f t="shared" ref="AP9:AP21" si="12">AL9*AD9</f>
        <v>9.2948653846153848E-2</v>
      </c>
      <c r="AQ9" s="693"/>
      <c r="AR9" s="401">
        <f t="shared" si="4"/>
        <v>0.25</v>
      </c>
      <c r="AS9" s="402" t="s">
        <v>100</v>
      </c>
      <c r="AT9" s="405">
        <f>1/1</f>
        <v>1</v>
      </c>
      <c r="AU9" s="403" t="s">
        <v>101</v>
      </c>
      <c r="AV9" s="402"/>
      <c r="AW9" s="729" t="str">
        <f t="shared" ref="AW9:AW21" si="13">+IF(AND(AT9&gt;=0%,AT9&lt;=60%),"BAJO",IF(AND(AT9&gt;=61%,AT9&lt;=80%),"MEDIO","ALTO"))</f>
        <v>ALTO</v>
      </c>
      <c r="AX9" s="397">
        <f t="shared" ref="AX9:AX21" si="14">AR9*AT9</f>
        <v>0.25</v>
      </c>
      <c r="AY9" s="399" t="s">
        <v>102</v>
      </c>
      <c r="AZ9" s="398">
        <f t="shared" ref="AZ9:AZ21" si="15">AX9*AB9</f>
        <v>1.925</v>
      </c>
      <c r="BA9" s="398">
        <f t="shared" ref="BA9:BA21" si="16">AX9*AC9</f>
        <v>0.32467532467532467</v>
      </c>
      <c r="BB9" s="398">
        <f t="shared" ref="BB9:BB21" si="17">AX9*AD9</f>
        <v>9.2948653846153848E-2</v>
      </c>
      <c r="BC9" s="15"/>
      <c r="BD9" s="14">
        <f t="shared" si="5"/>
        <v>0.25</v>
      </c>
      <c r="BE9" s="645" t="s">
        <v>100</v>
      </c>
      <c r="BF9" s="682">
        <f>3/3</f>
        <v>1</v>
      </c>
      <c r="BG9" s="751" t="s">
        <v>101</v>
      </c>
      <c r="BH9" s="752" t="s">
        <v>112</v>
      </c>
      <c r="BI9" s="658" t="str">
        <f>+IF(AND(BF9&gt;=0%,BF9&lt;=60%),"BAJO",IF(AND(BF9&gt;=61%,BF9&lt;=80%),"MEDIO","ALTO"))</f>
        <v>ALTO</v>
      </c>
      <c r="BJ9" s="681">
        <f t="shared" ref="BJ9:BJ21" si="18">BD9*BF9</f>
        <v>0.25</v>
      </c>
      <c r="BK9" s="647" t="s">
        <v>104</v>
      </c>
      <c r="BL9" s="682">
        <f t="shared" ref="BL9:BL72" si="19">BJ9/AB9</f>
        <v>3.2467532467532464E-2</v>
      </c>
      <c r="BM9" s="682">
        <f t="shared" ref="BM9:BM72" si="20">BJ9/AC9</f>
        <v>0.1925</v>
      </c>
      <c r="BN9" s="682">
        <f t="shared" ref="BN9:BN72" si="21">BJ9/AD9</f>
        <v>0.67241425683741851</v>
      </c>
      <c r="BO9" s="658"/>
      <c r="BP9" s="853">
        <f t="shared" si="6"/>
        <v>0.25</v>
      </c>
      <c r="BQ9" s="854" t="s">
        <v>105</v>
      </c>
      <c r="BR9" s="855">
        <v>1</v>
      </c>
      <c r="BS9" s="856" t="s">
        <v>113</v>
      </c>
      <c r="BT9" s="857"/>
      <c r="BU9" s="905" t="str">
        <f t="shared" ref="BU9:BU21" si="22">+IF(AND(BR9&gt;=0%,BR9&lt;=60%),"BAJO",IF(AND(BR9&gt;=61%,BR9&lt;=80%),"MEDIO","ALTO"))</f>
        <v>ALTO</v>
      </c>
      <c r="BV9" s="875">
        <f t="shared" ref="BV9:BV21" si="23">BP9*BR9</f>
        <v>0.25</v>
      </c>
      <c r="BW9" s="858" t="s">
        <v>114</v>
      </c>
      <c r="BX9" s="857">
        <f t="shared" ref="BX9:BX72" si="24">BV9*AB9</f>
        <v>1.925</v>
      </c>
      <c r="BY9" s="857">
        <f t="shared" ref="BY9:BY72" si="25">BV9*AC9</f>
        <v>0.32467532467532467</v>
      </c>
      <c r="BZ9" s="857">
        <f t="shared" ref="BZ9:BZ72" si="26">BV9*AD9</f>
        <v>9.2948653846153848E-2</v>
      </c>
      <c r="CA9" s="857">
        <f t="shared" ref="CA9:CA72" si="27">BV9*AE9</f>
        <v>9.4318181818181815E-2</v>
      </c>
      <c r="CB9" s="16">
        <f t="shared" ref="CB9:CB72" si="28">SUM(BD9+BP9)</f>
        <v>0.5</v>
      </c>
      <c r="CC9" s="16">
        <f t="shared" ref="CC9:CC72" si="29">AF9+AR9</f>
        <v>0.5</v>
      </c>
      <c r="CD9" s="16">
        <f t="shared" si="7"/>
        <v>1</v>
      </c>
      <c r="CE9" s="16">
        <f t="shared" ref="CE9:CE21" si="30">SUM(AL9+AX9+BJ9+BV9)</f>
        <v>1</v>
      </c>
      <c r="CF9" s="16" t="e">
        <f>SUM(#REF!/(CC9+CB9))</f>
        <v>#REF!</v>
      </c>
      <c r="CG9" s="17"/>
      <c r="CH9" s="17"/>
      <c r="CI9" s="17"/>
      <c r="CJ9" s="17"/>
      <c r="CK9" s="1"/>
      <c r="CL9" s="1"/>
      <c r="CM9" s="1"/>
      <c r="CN9" s="1"/>
      <c r="CO9" s="1"/>
      <c r="CP9" s="1"/>
      <c r="CQ9" s="1"/>
      <c r="CR9" s="1"/>
      <c r="CS9" s="1"/>
      <c r="CT9" s="1"/>
      <c r="CU9" s="1"/>
      <c r="CV9" s="346">
        <f t="shared" si="8"/>
        <v>1</v>
      </c>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row>
    <row r="10" spans="1:303" s="2" customFormat="1" ht="242.25" x14ac:dyDescent="0.25">
      <c r="A10" s="350" t="s">
        <v>79</v>
      </c>
      <c r="B10" s="350" t="s">
        <v>80</v>
      </c>
      <c r="C10" s="350" t="s">
        <v>81</v>
      </c>
      <c r="D10" s="350" t="s">
        <v>82</v>
      </c>
      <c r="E10" s="350" t="s">
        <v>83</v>
      </c>
      <c r="F10" s="350" t="s">
        <v>84</v>
      </c>
      <c r="G10" s="350" t="s">
        <v>85</v>
      </c>
      <c r="H10" s="350" t="s">
        <v>86</v>
      </c>
      <c r="I10" s="350" t="s">
        <v>87</v>
      </c>
      <c r="J10" s="350" t="s">
        <v>88</v>
      </c>
      <c r="K10" s="364" t="s">
        <v>4</v>
      </c>
      <c r="L10" s="364" t="s">
        <v>89</v>
      </c>
      <c r="M10" s="456" t="s">
        <v>115</v>
      </c>
      <c r="N10" s="361" t="s">
        <v>116</v>
      </c>
      <c r="O10" s="361" t="s">
        <v>92</v>
      </c>
      <c r="P10" s="922">
        <v>39542136.277533107</v>
      </c>
      <c r="Q10" s="364" t="s">
        <v>94</v>
      </c>
      <c r="R10" s="361" t="s">
        <v>95</v>
      </c>
      <c r="S10" s="365">
        <v>3</v>
      </c>
      <c r="T10" s="366" t="s">
        <v>117</v>
      </c>
      <c r="U10" s="366" t="s">
        <v>118</v>
      </c>
      <c r="V10" s="364" t="s">
        <v>119</v>
      </c>
      <c r="W10" s="366" t="s">
        <v>120</v>
      </c>
      <c r="X10" s="437">
        <v>0.25</v>
      </c>
      <c r="Y10" s="437">
        <v>0.25</v>
      </c>
      <c r="Z10" s="437">
        <v>0.25</v>
      </c>
      <c r="AA10" s="516">
        <v>0.25</v>
      </c>
      <c r="AB10" s="525">
        <v>7.7</v>
      </c>
      <c r="AC10" s="413">
        <v>1.2987012987012987</v>
      </c>
      <c r="AD10" s="413">
        <v>0.37179461538461539</v>
      </c>
      <c r="AE10" s="413">
        <v>0.37727272727272726</v>
      </c>
      <c r="AF10" s="692">
        <f t="shared" si="3"/>
        <v>0.25</v>
      </c>
      <c r="AG10" s="693" t="s">
        <v>100</v>
      </c>
      <c r="AH10" s="694">
        <f>1/1</f>
        <v>1</v>
      </c>
      <c r="AI10" s="695" t="s">
        <v>101</v>
      </c>
      <c r="AJ10" s="695"/>
      <c r="AK10" s="693" t="str">
        <f>+IF(AND(AH10&gt;=0%,AH10&lt;=60%),"BAJO",IF(AND(AH10&gt;=61%,AH10&lt;=80%),"MEDIO","ALTO"))</f>
        <v>ALTO</v>
      </c>
      <c r="AL10" s="692">
        <f t="shared" si="9"/>
        <v>0.25</v>
      </c>
      <c r="AM10" s="697" t="s">
        <v>102</v>
      </c>
      <c r="AN10" s="693">
        <f t="shared" si="10"/>
        <v>1.925</v>
      </c>
      <c r="AO10" s="693">
        <f t="shared" si="11"/>
        <v>0.32467532467532467</v>
      </c>
      <c r="AP10" s="693">
        <f t="shared" si="12"/>
        <v>9.2948653846153848E-2</v>
      </c>
      <c r="AQ10" s="693"/>
      <c r="AR10" s="401">
        <f t="shared" si="4"/>
        <v>0.25</v>
      </c>
      <c r="AS10" s="402" t="s">
        <v>100</v>
      </c>
      <c r="AT10" s="405">
        <f>1/1</f>
        <v>1</v>
      </c>
      <c r="AU10" s="403" t="s">
        <v>101</v>
      </c>
      <c r="AV10" s="402"/>
      <c r="AW10" s="729" t="str">
        <f t="shared" si="13"/>
        <v>ALTO</v>
      </c>
      <c r="AX10" s="397">
        <f t="shared" si="14"/>
        <v>0.25</v>
      </c>
      <c r="AY10" s="399" t="s">
        <v>121</v>
      </c>
      <c r="AZ10" s="398">
        <f t="shared" si="15"/>
        <v>1.925</v>
      </c>
      <c r="BA10" s="398">
        <f t="shared" si="16"/>
        <v>0.32467532467532467</v>
      </c>
      <c r="BB10" s="398">
        <f t="shared" si="17"/>
        <v>9.2948653846153848E-2</v>
      </c>
      <c r="BC10" s="15"/>
      <c r="BD10" s="14">
        <f t="shared" si="5"/>
        <v>0.25</v>
      </c>
      <c r="BE10" s="645" t="s">
        <v>100</v>
      </c>
      <c r="BF10" s="682">
        <f>1/1</f>
        <v>1</v>
      </c>
      <c r="BG10" s="751" t="s">
        <v>101</v>
      </c>
      <c r="BH10" s="752" t="s">
        <v>122</v>
      </c>
      <c r="BI10" s="658" t="str">
        <f t="shared" ref="BI10:BI72" si="31">+IF(AND(BF10&gt;=0%,BF10&lt;=60%),"BAJO",IF(AND(BF10&gt;=61%,BF10&lt;=80%),"MEDIO","ALTO"))</f>
        <v>ALTO</v>
      </c>
      <c r="BJ10" s="681">
        <f t="shared" si="18"/>
        <v>0.25</v>
      </c>
      <c r="BK10" s="647" t="s">
        <v>104</v>
      </c>
      <c r="BL10" s="682">
        <f t="shared" si="19"/>
        <v>3.2467532467532464E-2</v>
      </c>
      <c r="BM10" s="682">
        <f t="shared" si="20"/>
        <v>0.1925</v>
      </c>
      <c r="BN10" s="682">
        <f t="shared" si="21"/>
        <v>0.67241425683741851</v>
      </c>
      <c r="BO10" s="658"/>
      <c r="BP10" s="853">
        <f t="shared" si="6"/>
        <v>0.25</v>
      </c>
      <c r="BQ10" s="854" t="s">
        <v>105</v>
      </c>
      <c r="BR10" s="855">
        <v>1</v>
      </c>
      <c r="BS10" s="856" t="s">
        <v>123</v>
      </c>
      <c r="BT10" s="857"/>
      <c r="BU10" s="905" t="str">
        <f t="shared" si="22"/>
        <v>ALTO</v>
      </c>
      <c r="BV10" s="875">
        <f t="shared" si="23"/>
        <v>0.25</v>
      </c>
      <c r="BW10" s="857" t="s">
        <v>124</v>
      </c>
      <c r="BX10" s="857">
        <f t="shared" si="24"/>
        <v>1.925</v>
      </c>
      <c r="BY10" s="857">
        <f t="shared" si="25"/>
        <v>0.32467532467532467</v>
      </c>
      <c r="BZ10" s="857">
        <f t="shared" si="26"/>
        <v>9.2948653846153848E-2</v>
      </c>
      <c r="CA10" s="857">
        <f t="shared" si="27"/>
        <v>9.4318181818181815E-2</v>
      </c>
      <c r="CB10" s="16">
        <f t="shared" si="28"/>
        <v>0.5</v>
      </c>
      <c r="CC10" s="16">
        <f t="shared" si="29"/>
        <v>0.5</v>
      </c>
      <c r="CD10" s="16">
        <f t="shared" si="7"/>
        <v>1</v>
      </c>
      <c r="CE10" s="16">
        <f t="shared" si="30"/>
        <v>1</v>
      </c>
      <c r="CF10" s="16" t="e">
        <f>SUM(#REF!/(CC10+CB10))</f>
        <v>#REF!</v>
      </c>
      <c r="CG10" s="17"/>
      <c r="CH10" s="17"/>
      <c r="CI10" s="17"/>
      <c r="CJ10" s="17"/>
      <c r="CK10" s="1"/>
      <c r="CL10" s="1"/>
      <c r="CM10" s="1"/>
      <c r="CN10" s="1"/>
      <c r="CO10" s="1"/>
      <c r="CP10" s="1"/>
      <c r="CQ10" s="1"/>
      <c r="CR10" s="1"/>
      <c r="CS10" s="1"/>
      <c r="CT10" s="1"/>
      <c r="CU10" s="1"/>
      <c r="CV10" s="346">
        <f t="shared" si="8"/>
        <v>1</v>
      </c>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row>
    <row r="11" spans="1:303" s="2" customFormat="1" ht="399" customHeight="1" x14ac:dyDescent="0.25">
      <c r="A11" s="350" t="s">
        <v>79</v>
      </c>
      <c r="B11" s="350" t="s">
        <v>80</v>
      </c>
      <c r="C11" s="350" t="s">
        <v>81</v>
      </c>
      <c r="D11" s="350" t="s">
        <v>82</v>
      </c>
      <c r="E11" s="350" t="s">
        <v>83</v>
      </c>
      <c r="F11" s="350" t="s">
        <v>84</v>
      </c>
      <c r="G11" s="350" t="s">
        <v>85</v>
      </c>
      <c r="H11" s="350" t="s">
        <v>86</v>
      </c>
      <c r="I11" s="350" t="s">
        <v>87</v>
      </c>
      <c r="J11" s="350" t="s">
        <v>88</v>
      </c>
      <c r="K11" s="364" t="s">
        <v>4</v>
      </c>
      <c r="L11" s="364" t="s">
        <v>89</v>
      </c>
      <c r="M11" s="456" t="s">
        <v>125</v>
      </c>
      <c r="N11" s="361" t="s">
        <v>116</v>
      </c>
      <c r="O11" s="361" t="s">
        <v>126</v>
      </c>
      <c r="P11" s="922">
        <v>39542136.277533107</v>
      </c>
      <c r="Q11" s="364" t="s">
        <v>94</v>
      </c>
      <c r="R11" s="361" t="s">
        <v>95</v>
      </c>
      <c r="S11" s="347">
        <v>1</v>
      </c>
      <c r="T11" s="366" t="s">
        <v>127</v>
      </c>
      <c r="U11" s="366" t="s">
        <v>128</v>
      </c>
      <c r="V11" s="364" t="s">
        <v>98</v>
      </c>
      <c r="W11" s="366" t="s">
        <v>129</v>
      </c>
      <c r="X11" s="436">
        <v>0.25</v>
      </c>
      <c r="Y11" s="436">
        <v>0.25</v>
      </c>
      <c r="Z11" s="436">
        <v>0.25</v>
      </c>
      <c r="AA11" s="515">
        <v>0.25</v>
      </c>
      <c r="AB11" s="525">
        <v>7.69</v>
      </c>
      <c r="AC11" s="413">
        <v>1.2987012987012987</v>
      </c>
      <c r="AD11" s="413">
        <v>0.37179461538461539</v>
      </c>
      <c r="AE11" s="413">
        <v>0.37727272727272726</v>
      </c>
      <c r="AF11" s="692">
        <f t="shared" si="3"/>
        <v>0.25</v>
      </c>
      <c r="AG11" s="693" t="s">
        <v>100</v>
      </c>
      <c r="AH11" s="694">
        <f>1/1</f>
        <v>1</v>
      </c>
      <c r="AI11" s="695" t="s">
        <v>101</v>
      </c>
      <c r="AJ11" s="695" t="s">
        <v>130</v>
      </c>
      <c r="AK11" s="693" t="str">
        <f>+IF(AND(AH11&gt;=0%,AH11&lt;=60%),"BAJO",IF(AND(AH11&gt;=61%,AH11&lt;=80%),"MEDIO","ALTO"))</f>
        <v>ALTO</v>
      </c>
      <c r="AL11" s="692">
        <f t="shared" si="9"/>
        <v>0.25</v>
      </c>
      <c r="AM11" s="697" t="s">
        <v>102</v>
      </c>
      <c r="AN11" s="693">
        <f t="shared" si="10"/>
        <v>1.9225000000000001</v>
      </c>
      <c r="AO11" s="693">
        <f t="shared" si="11"/>
        <v>0.32467532467532467</v>
      </c>
      <c r="AP11" s="693">
        <f t="shared" si="12"/>
        <v>9.2948653846153848E-2</v>
      </c>
      <c r="AQ11" s="693"/>
      <c r="AR11" s="401">
        <f t="shared" si="4"/>
        <v>0.25</v>
      </c>
      <c r="AS11" s="402" t="s">
        <v>100</v>
      </c>
      <c r="AT11" s="625">
        <f>1/1</f>
        <v>1</v>
      </c>
      <c r="AU11" s="403" t="s">
        <v>131</v>
      </c>
      <c r="AV11" s="403" t="s">
        <v>130</v>
      </c>
      <c r="AW11" s="729" t="str">
        <f t="shared" si="13"/>
        <v>ALTO</v>
      </c>
      <c r="AX11" s="397">
        <f t="shared" si="14"/>
        <v>0.25</v>
      </c>
      <c r="AY11" s="399" t="s">
        <v>102</v>
      </c>
      <c r="AZ11" s="398">
        <f t="shared" si="15"/>
        <v>1.9225000000000001</v>
      </c>
      <c r="BA11" s="398">
        <f t="shared" si="16"/>
        <v>0.32467532467532467</v>
      </c>
      <c r="BB11" s="398">
        <f t="shared" si="17"/>
        <v>9.2948653846153848E-2</v>
      </c>
      <c r="BC11" s="15"/>
      <c r="BD11" s="14">
        <f t="shared" si="5"/>
        <v>0.25</v>
      </c>
      <c r="BE11" s="645" t="s">
        <v>100</v>
      </c>
      <c r="BF11" s="682">
        <f>4/4</f>
        <v>1</v>
      </c>
      <c r="BG11" s="751" t="s">
        <v>101</v>
      </c>
      <c r="BH11" s="752" t="s">
        <v>132</v>
      </c>
      <c r="BI11" s="658" t="str">
        <f t="shared" si="31"/>
        <v>ALTO</v>
      </c>
      <c r="BJ11" s="681">
        <f t="shared" si="18"/>
        <v>0.25</v>
      </c>
      <c r="BK11" s="647" t="s">
        <v>104</v>
      </c>
      <c r="BL11" s="682">
        <f t="shared" si="19"/>
        <v>3.2509752925877759E-2</v>
      </c>
      <c r="BM11" s="682">
        <f t="shared" si="20"/>
        <v>0.1925</v>
      </c>
      <c r="BN11" s="682">
        <f t="shared" si="21"/>
        <v>0.67241425683741851</v>
      </c>
      <c r="BO11" s="658"/>
      <c r="BP11" s="853">
        <f t="shared" si="6"/>
        <v>0.25</v>
      </c>
      <c r="BQ11" s="854" t="s">
        <v>105</v>
      </c>
      <c r="BR11" s="855">
        <v>1</v>
      </c>
      <c r="BS11" s="856" t="s">
        <v>133</v>
      </c>
      <c r="BT11" s="857"/>
      <c r="BU11" s="905" t="str">
        <f t="shared" si="22"/>
        <v>ALTO</v>
      </c>
      <c r="BV11" s="875">
        <f t="shared" si="23"/>
        <v>0.25</v>
      </c>
      <c r="BW11" s="857" t="s">
        <v>134</v>
      </c>
      <c r="BX11" s="857">
        <f t="shared" si="24"/>
        <v>1.9225000000000001</v>
      </c>
      <c r="BY11" s="857">
        <f t="shared" si="25"/>
        <v>0.32467532467532467</v>
      </c>
      <c r="BZ11" s="857">
        <f t="shared" si="26"/>
        <v>9.2948653846153848E-2</v>
      </c>
      <c r="CA11" s="857">
        <f t="shared" si="27"/>
        <v>9.4318181818181815E-2</v>
      </c>
      <c r="CB11" s="16">
        <f t="shared" si="28"/>
        <v>0.5</v>
      </c>
      <c r="CC11" s="16">
        <f t="shared" si="29"/>
        <v>0.5</v>
      </c>
      <c r="CD11" s="16">
        <f t="shared" si="7"/>
        <v>1</v>
      </c>
      <c r="CE11" s="16">
        <f t="shared" si="30"/>
        <v>1</v>
      </c>
      <c r="CF11" s="16" t="e">
        <f>SUM(#REF!/(CC11+CB11))</f>
        <v>#REF!</v>
      </c>
      <c r="CG11" s="17"/>
      <c r="CH11" s="17"/>
      <c r="CI11" s="17"/>
      <c r="CJ11" s="17"/>
      <c r="CK11" s="1"/>
      <c r="CL11" s="1"/>
      <c r="CM11" s="1"/>
      <c r="CN11" s="1"/>
      <c r="CO11" s="1"/>
      <c r="CP11" s="1"/>
      <c r="CQ11" s="1"/>
      <c r="CR11" s="1"/>
      <c r="CS11" s="1"/>
      <c r="CT11" s="1"/>
      <c r="CU11" s="1"/>
      <c r="CV11" s="346">
        <f t="shared" si="8"/>
        <v>1</v>
      </c>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row>
    <row r="12" spans="1:303" s="2" customFormat="1" ht="342" customHeight="1" x14ac:dyDescent="0.25">
      <c r="A12" s="350" t="s">
        <v>79</v>
      </c>
      <c r="B12" s="350" t="s">
        <v>80</v>
      </c>
      <c r="C12" s="350" t="s">
        <v>81</v>
      </c>
      <c r="D12" s="350" t="s">
        <v>82</v>
      </c>
      <c r="E12" s="350" t="s">
        <v>83</v>
      </c>
      <c r="F12" s="350" t="s">
        <v>84</v>
      </c>
      <c r="G12" s="350" t="s">
        <v>85</v>
      </c>
      <c r="H12" s="350" t="s">
        <v>86</v>
      </c>
      <c r="I12" s="350" t="s">
        <v>87</v>
      </c>
      <c r="J12" s="350" t="s">
        <v>88</v>
      </c>
      <c r="K12" s="364" t="s">
        <v>4</v>
      </c>
      <c r="L12" s="364" t="s">
        <v>89</v>
      </c>
      <c r="M12" s="456" t="s">
        <v>135</v>
      </c>
      <c r="N12" s="361" t="s">
        <v>116</v>
      </c>
      <c r="O12" s="361" t="s">
        <v>92</v>
      </c>
      <c r="P12" s="922">
        <v>39542136.277533107</v>
      </c>
      <c r="Q12" s="364" t="s">
        <v>94</v>
      </c>
      <c r="R12" s="361" t="s">
        <v>95</v>
      </c>
      <c r="S12" s="347">
        <v>1</v>
      </c>
      <c r="T12" s="366" t="s">
        <v>136</v>
      </c>
      <c r="U12" s="366" t="s">
        <v>137</v>
      </c>
      <c r="V12" s="364" t="s">
        <v>98</v>
      </c>
      <c r="W12" s="366" t="s">
        <v>138</v>
      </c>
      <c r="X12" s="436">
        <v>0.25</v>
      </c>
      <c r="Y12" s="436">
        <v>0.25</v>
      </c>
      <c r="Z12" s="436">
        <v>0.25</v>
      </c>
      <c r="AA12" s="515">
        <v>0.25</v>
      </c>
      <c r="AB12" s="525">
        <v>7.69</v>
      </c>
      <c r="AC12" s="413">
        <v>1.2987012987012987</v>
      </c>
      <c r="AD12" s="413">
        <v>0.37179461538461539</v>
      </c>
      <c r="AE12" s="413">
        <v>0.37727272727272726</v>
      </c>
      <c r="AF12" s="692">
        <f t="shared" si="3"/>
        <v>0.25</v>
      </c>
      <c r="AG12" s="693" t="s">
        <v>100</v>
      </c>
      <c r="AH12" s="694">
        <f>1/1</f>
        <v>1</v>
      </c>
      <c r="AI12" s="695" t="s">
        <v>101</v>
      </c>
      <c r="AJ12" s="696"/>
      <c r="AK12" s="693" t="str">
        <f>+IF(AND(AH12&gt;=0%,AH12&lt;=60%),"BAJO",IF(AND(AH12&gt;=61%,AH12&lt;=80%),"MEDIO","ALTO"))</f>
        <v>ALTO</v>
      </c>
      <c r="AL12" s="692">
        <f t="shared" si="9"/>
        <v>0.25</v>
      </c>
      <c r="AM12" s="697" t="s">
        <v>102</v>
      </c>
      <c r="AN12" s="693">
        <f t="shared" si="10"/>
        <v>1.9225000000000001</v>
      </c>
      <c r="AO12" s="693">
        <f t="shared" si="11"/>
        <v>0.32467532467532467</v>
      </c>
      <c r="AP12" s="693">
        <f t="shared" si="12"/>
        <v>9.2948653846153848E-2</v>
      </c>
      <c r="AQ12" s="693"/>
      <c r="AR12" s="401">
        <f t="shared" si="4"/>
        <v>0.25</v>
      </c>
      <c r="AS12" s="402" t="s">
        <v>100</v>
      </c>
      <c r="AT12" s="405">
        <f>1/1</f>
        <v>1</v>
      </c>
      <c r="AU12" s="403" t="s">
        <v>101</v>
      </c>
      <c r="AV12" s="402"/>
      <c r="AW12" s="729" t="str">
        <f t="shared" si="13"/>
        <v>ALTO</v>
      </c>
      <c r="AX12" s="397">
        <f t="shared" si="14"/>
        <v>0.25</v>
      </c>
      <c r="AY12" s="399" t="s">
        <v>102</v>
      </c>
      <c r="AZ12" s="398">
        <f t="shared" si="15"/>
        <v>1.9225000000000001</v>
      </c>
      <c r="BA12" s="398">
        <f t="shared" si="16"/>
        <v>0.32467532467532467</v>
      </c>
      <c r="BB12" s="398">
        <f t="shared" si="17"/>
        <v>9.2948653846153848E-2</v>
      </c>
      <c r="BC12" s="15"/>
      <c r="BD12" s="14">
        <f t="shared" si="5"/>
        <v>0.25</v>
      </c>
      <c r="BE12" s="645" t="s">
        <v>100</v>
      </c>
      <c r="BF12" s="682">
        <f>2/2</f>
        <v>1</v>
      </c>
      <c r="BG12" s="751" t="s">
        <v>101</v>
      </c>
      <c r="BH12" s="752" t="s">
        <v>139</v>
      </c>
      <c r="BI12" s="658" t="str">
        <f t="shared" si="31"/>
        <v>ALTO</v>
      </c>
      <c r="BJ12" s="681">
        <f t="shared" si="18"/>
        <v>0.25</v>
      </c>
      <c r="BK12" s="647" t="s">
        <v>104</v>
      </c>
      <c r="BL12" s="682">
        <f t="shared" si="19"/>
        <v>3.2509752925877759E-2</v>
      </c>
      <c r="BM12" s="682">
        <f t="shared" si="20"/>
        <v>0.1925</v>
      </c>
      <c r="BN12" s="682">
        <f t="shared" si="21"/>
        <v>0.67241425683741851</v>
      </c>
      <c r="BO12" s="658"/>
      <c r="BP12" s="853">
        <f t="shared" si="6"/>
        <v>0.25</v>
      </c>
      <c r="BQ12" s="854" t="s">
        <v>105</v>
      </c>
      <c r="BR12" s="855">
        <v>1</v>
      </c>
      <c r="BS12" s="856" t="s">
        <v>140</v>
      </c>
      <c r="BT12" s="857"/>
      <c r="BU12" s="905" t="str">
        <f t="shared" si="22"/>
        <v>ALTO</v>
      </c>
      <c r="BV12" s="875">
        <f t="shared" si="23"/>
        <v>0.25</v>
      </c>
      <c r="BW12" s="857" t="s">
        <v>141</v>
      </c>
      <c r="BX12" s="857">
        <f t="shared" si="24"/>
        <v>1.9225000000000001</v>
      </c>
      <c r="BY12" s="857">
        <f t="shared" si="25"/>
        <v>0.32467532467532467</v>
      </c>
      <c r="BZ12" s="857">
        <f t="shared" si="26"/>
        <v>9.2948653846153848E-2</v>
      </c>
      <c r="CA12" s="857">
        <f t="shared" si="27"/>
        <v>9.4318181818181815E-2</v>
      </c>
      <c r="CB12" s="16">
        <f t="shared" si="28"/>
        <v>0.5</v>
      </c>
      <c r="CC12" s="16">
        <f t="shared" si="29"/>
        <v>0.5</v>
      </c>
      <c r="CD12" s="16">
        <f t="shared" si="7"/>
        <v>1</v>
      </c>
      <c r="CE12" s="16">
        <f t="shared" si="30"/>
        <v>1</v>
      </c>
      <c r="CF12" s="16" t="e">
        <f>SUM(#REF!/(CC12+CB12))</f>
        <v>#REF!</v>
      </c>
      <c r="CG12" s="17"/>
      <c r="CH12" s="17"/>
      <c r="CI12" s="17"/>
      <c r="CJ12" s="17"/>
      <c r="CK12" s="1"/>
      <c r="CL12" s="1"/>
      <c r="CM12" s="1"/>
      <c r="CN12" s="1"/>
      <c r="CO12" s="1"/>
      <c r="CP12" s="1"/>
      <c r="CQ12" s="1"/>
      <c r="CR12" s="1"/>
      <c r="CS12" s="1"/>
      <c r="CT12" s="1"/>
      <c r="CU12" s="1"/>
      <c r="CV12" s="346">
        <f t="shared" si="8"/>
        <v>1</v>
      </c>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row>
    <row r="13" spans="1:303" s="3" customFormat="1" ht="342" customHeight="1" x14ac:dyDescent="0.25">
      <c r="A13" s="350" t="s">
        <v>79</v>
      </c>
      <c r="B13" s="350" t="s">
        <v>80</v>
      </c>
      <c r="C13" s="350" t="s">
        <v>81</v>
      </c>
      <c r="D13" s="350" t="s">
        <v>82</v>
      </c>
      <c r="E13" s="350" t="s">
        <v>83</v>
      </c>
      <c r="F13" s="350" t="s">
        <v>84</v>
      </c>
      <c r="G13" s="350" t="s">
        <v>85</v>
      </c>
      <c r="H13" s="350" t="s">
        <v>86</v>
      </c>
      <c r="I13" s="350" t="s">
        <v>87</v>
      </c>
      <c r="J13" s="350" t="s">
        <v>88</v>
      </c>
      <c r="K13" s="364" t="s">
        <v>4</v>
      </c>
      <c r="L13" s="364" t="s">
        <v>89</v>
      </c>
      <c r="M13" s="456" t="s">
        <v>142</v>
      </c>
      <c r="N13" s="361" t="s">
        <v>116</v>
      </c>
      <c r="O13" s="361" t="s">
        <v>92</v>
      </c>
      <c r="P13" s="922">
        <v>39542136.277533107</v>
      </c>
      <c r="Q13" s="364" t="s">
        <v>94</v>
      </c>
      <c r="R13" s="361" t="s">
        <v>95</v>
      </c>
      <c r="S13" s="365">
        <v>1</v>
      </c>
      <c r="T13" s="366" t="s">
        <v>143</v>
      </c>
      <c r="U13" s="366" t="s">
        <v>144</v>
      </c>
      <c r="V13" s="364" t="s">
        <v>119</v>
      </c>
      <c r="W13" s="366" t="s">
        <v>145</v>
      </c>
      <c r="X13" s="436">
        <v>0</v>
      </c>
      <c r="Y13" s="436">
        <v>0</v>
      </c>
      <c r="Z13" s="436">
        <v>0</v>
      </c>
      <c r="AA13" s="515">
        <v>1</v>
      </c>
      <c r="AB13" s="525">
        <v>7.69</v>
      </c>
      <c r="AC13" s="413">
        <v>1.2987012987012987</v>
      </c>
      <c r="AD13" s="413">
        <v>0.37179461538461539</v>
      </c>
      <c r="AE13" s="413">
        <v>0.37727272727272726</v>
      </c>
      <c r="AF13" s="692">
        <f t="shared" si="3"/>
        <v>0</v>
      </c>
      <c r="AG13" s="693" t="s">
        <v>146</v>
      </c>
      <c r="AH13" s="694">
        <v>0</v>
      </c>
      <c r="AI13" s="696" t="s">
        <v>147</v>
      </c>
      <c r="AJ13" s="695" t="s">
        <v>148</v>
      </c>
      <c r="AK13" s="693"/>
      <c r="AL13" s="692">
        <f t="shared" si="9"/>
        <v>0</v>
      </c>
      <c r="AM13" s="695" t="s">
        <v>121</v>
      </c>
      <c r="AN13" s="693">
        <f t="shared" si="10"/>
        <v>0</v>
      </c>
      <c r="AO13" s="693">
        <f t="shared" si="11"/>
        <v>0</v>
      </c>
      <c r="AP13" s="693">
        <f t="shared" si="12"/>
        <v>0</v>
      </c>
      <c r="AQ13" s="696"/>
      <c r="AR13" s="401">
        <f t="shared" si="4"/>
        <v>0</v>
      </c>
      <c r="AS13" s="402" t="s">
        <v>146</v>
      </c>
      <c r="AT13" s="405">
        <v>0</v>
      </c>
      <c r="AU13" s="406" t="s">
        <v>147</v>
      </c>
      <c r="AV13" s="406" t="s">
        <v>148</v>
      </c>
      <c r="AW13" s="729"/>
      <c r="AX13" s="397">
        <f t="shared" si="14"/>
        <v>0</v>
      </c>
      <c r="AY13" s="400" t="s">
        <v>121</v>
      </c>
      <c r="AZ13" s="398">
        <f t="shared" si="15"/>
        <v>0</v>
      </c>
      <c r="BA13" s="398">
        <f t="shared" si="16"/>
        <v>0</v>
      </c>
      <c r="BB13" s="398">
        <f t="shared" si="17"/>
        <v>0</v>
      </c>
      <c r="BC13" s="18"/>
      <c r="BD13" s="14">
        <f t="shared" si="5"/>
        <v>0</v>
      </c>
      <c r="BE13" s="645" t="s">
        <v>146</v>
      </c>
      <c r="BF13" s="681"/>
      <c r="BG13" s="753" t="s">
        <v>147</v>
      </c>
      <c r="BH13" s="752" t="s">
        <v>148</v>
      </c>
      <c r="BI13" s="658" t="str">
        <f t="shared" si="31"/>
        <v>BAJO</v>
      </c>
      <c r="BJ13" s="681">
        <f t="shared" si="18"/>
        <v>0</v>
      </c>
      <c r="BK13" s="754" t="s">
        <v>149</v>
      </c>
      <c r="BL13" s="682">
        <f t="shared" si="19"/>
        <v>0</v>
      </c>
      <c r="BM13" s="682">
        <f t="shared" si="20"/>
        <v>0</v>
      </c>
      <c r="BN13" s="682">
        <f t="shared" si="21"/>
        <v>0</v>
      </c>
      <c r="BO13" s="754"/>
      <c r="BP13" s="853">
        <f t="shared" si="6"/>
        <v>1</v>
      </c>
      <c r="BQ13" s="854" t="s">
        <v>105</v>
      </c>
      <c r="BR13" s="855">
        <v>1</v>
      </c>
      <c r="BS13" s="856" t="s">
        <v>150</v>
      </c>
      <c r="BT13" s="857"/>
      <c r="BU13" s="905" t="str">
        <f t="shared" si="22"/>
        <v>ALTO</v>
      </c>
      <c r="BV13" s="875">
        <f t="shared" si="23"/>
        <v>1</v>
      </c>
      <c r="BW13" s="854" t="s">
        <v>151</v>
      </c>
      <c r="BX13" s="857">
        <f t="shared" si="24"/>
        <v>7.69</v>
      </c>
      <c r="BY13" s="857">
        <f t="shared" si="25"/>
        <v>1.2987012987012987</v>
      </c>
      <c r="BZ13" s="857">
        <f t="shared" si="26"/>
        <v>0.37179461538461539</v>
      </c>
      <c r="CA13" s="857">
        <f t="shared" si="27"/>
        <v>0.37727272727272726</v>
      </c>
      <c r="CB13" s="16">
        <f t="shared" si="28"/>
        <v>1</v>
      </c>
      <c r="CC13" s="16">
        <f t="shared" si="29"/>
        <v>0</v>
      </c>
      <c r="CD13" s="16">
        <f t="shared" si="7"/>
        <v>1</v>
      </c>
      <c r="CE13" s="16">
        <f t="shared" si="30"/>
        <v>1</v>
      </c>
      <c r="CF13" s="16" t="e">
        <f>SUM(#REF!/(CC13+CB13))</f>
        <v>#REF!</v>
      </c>
      <c r="CG13" s="19"/>
      <c r="CH13" s="19"/>
      <c r="CI13" s="19"/>
      <c r="CJ13" s="19"/>
      <c r="CV13" s="346">
        <f t="shared" si="8"/>
        <v>1</v>
      </c>
    </row>
    <row r="14" spans="1:303" s="3" customFormat="1" ht="171" x14ac:dyDescent="0.25">
      <c r="A14" s="473" t="s">
        <v>79</v>
      </c>
      <c r="B14" s="473" t="s">
        <v>80</v>
      </c>
      <c r="C14" s="473" t="s">
        <v>81</v>
      </c>
      <c r="D14" s="473" t="s">
        <v>82</v>
      </c>
      <c r="E14" s="473" t="s">
        <v>83</v>
      </c>
      <c r="F14" s="473" t="s">
        <v>84</v>
      </c>
      <c r="G14" s="473" t="s">
        <v>85</v>
      </c>
      <c r="H14" s="473" t="s">
        <v>86</v>
      </c>
      <c r="I14" s="473" t="s">
        <v>87</v>
      </c>
      <c r="J14" s="473" t="s">
        <v>152</v>
      </c>
      <c r="K14" s="382" t="s">
        <v>4</v>
      </c>
      <c r="L14" s="474" t="s">
        <v>89</v>
      </c>
      <c r="M14" s="474" t="s">
        <v>153</v>
      </c>
      <c r="N14" s="367" t="s">
        <v>91</v>
      </c>
      <c r="O14" s="367" t="s">
        <v>154</v>
      </c>
      <c r="P14" s="930">
        <v>39542136.277533107</v>
      </c>
      <c r="Q14" s="473" t="s">
        <v>155</v>
      </c>
      <c r="R14" s="475" t="s">
        <v>156</v>
      </c>
      <c r="S14" s="357">
        <v>3</v>
      </c>
      <c r="T14" s="369" t="s">
        <v>157</v>
      </c>
      <c r="U14" s="357" t="s">
        <v>158</v>
      </c>
      <c r="V14" s="370" t="s">
        <v>98</v>
      </c>
      <c r="W14" s="497" t="s">
        <v>159</v>
      </c>
      <c r="X14" s="432">
        <v>0</v>
      </c>
      <c r="Y14" s="432">
        <v>0.34</v>
      </c>
      <c r="Z14" s="432">
        <v>0.33</v>
      </c>
      <c r="AA14" s="444">
        <v>0.33</v>
      </c>
      <c r="AB14" s="525">
        <v>7.69</v>
      </c>
      <c r="AC14" s="413">
        <v>1.2987012987012987</v>
      </c>
      <c r="AD14" s="413">
        <v>0.37179461538461539</v>
      </c>
      <c r="AE14" s="413">
        <v>0.37727272727272726</v>
      </c>
      <c r="AF14" s="692">
        <f t="shared" si="3"/>
        <v>0</v>
      </c>
      <c r="AG14" s="693" t="s">
        <v>146</v>
      </c>
      <c r="AH14" s="694">
        <v>0</v>
      </c>
      <c r="AI14" s="696" t="s">
        <v>147</v>
      </c>
      <c r="AJ14" s="695" t="s">
        <v>160</v>
      </c>
      <c r="AK14" s="693"/>
      <c r="AL14" s="692">
        <f t="shared" si="9"/>
        <v>0</v>
      </c>
      <c r="AM14" s="695" t="s">
        <v>121</v>
      </c>
      <c r="AN14" s="693">
        <f t="shared" si="10"/>
        <v>0</v>
      </c>
      <c r="AO14" s="693">
        <f t="shared" si="11"/>
        <v>0</v>
      </c>
      <c r="AP14" s="693">
        <f t="shared" si="12"/>
        <v>0</v>
      </c>
      <c r="AQ14" s="696"/>
      <c r="AR14" s="401">
        <f t="shared" si="4"/>
        <v>0.34</v>
      </c>
      <c r="AS14" s="402" t="s">
        <v>100</v>
      </c>
      <c r="AT14" s="405">
        <f>1/1</f>
        <v>1</v>
      </c>
      <c r="AU14" s="403" t="s">
        <v>161</v>
      </c>
      <c r="AV14" s="404"/>
      <c r="AW14" s="729" t="str">
        <f t="shared" si="13"/>
        <v>ALTO</v>
      </c>
      <c r="AX14" s="397">
        <f t="shared" si="14"/>
        <v>0.34</v>
      </c>
      <c r="AY14" s="400" t="s">
        <v>102</v>
      </c>
      <c r="AZ14" s="398">
        <f t="shared" si="15"/>
        <v>2.6146000000000003</v>
      </c>
      <c r="BA14" s="398">
        <f t="shared" si="16"/>
        <v>0.44155844155844159</v>
      </c>
      <c r="BB14" s="398">
        <f t="shared" si="17"/>
        <v>0.12641016923076925</v>
      </c>
      <c r="BC14" s="18"/>
      <c r="BD14" s="14">
        <f t="shared" si="5"/>
        <v>0.33</v>
      </c>
      <c r="BE14" s="645" t="s">
        <v>100</v>
      </c>
      <c r="BF14" s="682">
        <f>1/1</f>
        <v>1</v>
      </c>
      <c r="BG14" s="751" t="s">
        <v>101</v>
      </c>
      <c r="BH14" s="752" t="s">
        <v>162</v>
      </c>
      <c r="BI14" s="658" t="str">
        <f t="shared" si="31"/>
        <v>ALTO</v>
      </c>
      <c r="BJ14" s="681">
        <f t="shared" si="18"/>
        <v>0.33</v>
      </c>
      <c r="BK14" s="647" t="s">
        <v>104</v>
      </c>
      <c r="BL14" s="682">
        <f t="shared" si="19"/>
        <v>4.2912873862158647E-2</v>
      </c>
      <c r="BM14" s="682">
        <f t="shared" si="20"/>
        <v>0.25409999999999999</v>
      </c>
      <c r="BN14" s="682">
        <f t="shared" si="21"/>
        <v>0.88758681902539249</v>
      </c>
      <c r="BO14" s="754"/>
      <c r="BP14" s="853">
        <f t="shared" si="6"/>
        <v>0.33</v>
      </c>
      <c r="BQ14" s="854" t="s">
        <v>105</v>
      </c>
      <c r="BR14" s="855">
        <v>1</v>
      </c>
      <c r="BS14" s="856" t="s">
        <v>163</v>
      </c>
      <c r="BT14" s="857"/>
      <c r="BU14" s="905" t="str">
        <f t="shared" si="22"/>
        <v>ALTO</v>
      </c>
      <c r="BV14" s="875">
        <f t="shared" si="23"/>
        <v>0.33</v>
      </c>
      <c r="BW14" s="854" t="s">
        <v>164</v>
      </c>
      <c r="BX14" s="857">
        <f t="shared" si="24"/>
        <v>2.5377000000000001</v>
      </c>
      <c r="BY14" s="857">
        <f t="shared" si="25"/>
        <v>0.4285714285714286</v>
      </c>
      <c r="BZ14" s="857">
        <f t="shared" si="26"/>
        <v>0.12269222307692308</v>
      </c>
      <c r="CA14" s="857">
        <f t="shared" si="27"/>
        <v>0.1245</v>
      </c>
      <c r="CB14" s="16">
        <f t="shared" si="28"/>
        <v>0.66</v>
      </c>
      <c r="CC14" s="16">
        <f t="shared" si="29"/>
        <v>0.34</v>
      </c>
      <c r="CD14" s="16">
        <f t="shared" si="7"/>
        <v>1</v>
      </c>
      <c r="CE14" s="16">
        <f t="shared" si="30"/>
        <v>1</v>
      </c>
      <c r="CF14" s="16" t="e">
        <f>SUM(#REF!/(CC14+CB14))</f>
        <v>#REF!</v>
      </c>
      <c r="CG14" s="19"/>
      <c r="CH14" s="19"/>
      <c r="CI14" s="19"/>
      <c r="CJ14" s="19"/>
      <c r="CK14" s="3" t="s">
        <v>165</v>
      </c>
      <c r="CV14" s="346">
        <f t="shared" si="8"/>
        <v>1</v>
      </c>
    </row>
    <row r="15" spans="1:303" s="3" customFormat="1" ht="151.5" customHeight="1" x14ac:dyDescent="0.25">
      <c r="A15" s="473" t="s">
        <v>79</v>
      </c>
      <c r="B15" s="473" t="s">
        <v>80</v>
      </c>
      <c r="C15" s="473" t="s">
        <v>81</v>
      </c>
      <c r="D15" s="473" t="s">
        <v>82</v>
      </c>
      <c r="E15" s="473" t="s">
        <v>83</v>
      </c>
      <c r="F15" s="473" t="s">
        <v>84</v>
      </c>
      <c r="G15" s="473" t="s">
        <v>85</v>
      </c>
      <c r="H15" s="473" t="s">
        <v>86</v>
      </c>
      <c r="I15" s="473" t="s">
        <v>87</v>
      </c>
      <c r="J15" s="473" t="s">
        <v>152</v>
      </c>
      <c r="K15" s="382" t="s">
        <v>4</v>
      </c>
      <c r="L15" s="474" t="s">
        <v>89</v>
      </c>
      <c r="M15" s="474" t="s">
        <v>166</v>
      </c>
      <c r="N15" s="367" t="s">
        <v>91</v>
      </c>
      <c r="O15" s="367" t="s">
        <v>154</v>
      </c>
      <c r="P15" s="930">
        <v>39542136.277533107</v>
      </c>
      <c r="Q15" s="473" t="s">
        <v>94</v>
      </c>
      <c r="R15" s="473" t="s">
        <v>156</v>
      </c>
      <c r="S15" s="489">
        <v>3</v>
      </c>
      <c r="T15" s="475" t="s">
        <v>167</v>
      </c>
      <c r="U15" s="475" t="s">
        <v>168</v>
      </c>
      <c r="V15" s="489" t="s">
        <v>98</v>
      </c>
      <c r="W15" s="496" t="s">
        <v>169</v>
      </c>
      <c r="X15" s="447">
        <v>0</v>
      </c>
      <c r="Y15" s="447">
        <v>0.34</v>
      </c>
      <c r="Z15" s="447">
        <v>0.33</v>
      </c>
      <c r="AA15" s="517">
        <v>0.33</v>
      </c>
      <c r="AB15" s="525">
        <v>7.69</v>
      </c>
      <c r="AC15" s="413">
        <v>1.2987012987012987</v>
      </c>
      <c r="AD15" s="413">
        <v>0.37179461538461539</v>
      </c>
      <c r="AE15" s="413">
        <v>0.37727272727272726</v>
      </c>
      <c r="AF15" s="692">
        <f t="shared" si="3"/>
        <v>0</v>
      </c>
      <c r="AG15" s="693" t="s">
        <v>146</v>
      </c>
      <c r="AH15" s="694">
        <v>0</v>
      </c>
      <c r="AI15" s="696" t="s">
        <v>147</v>
      </c>
      <c r="AJ15" s="695" t="s">
        <v>160</v>
      </c>
      <c r="AK15" s="693"/>
      <c r="AL15" s="692">
        <f t="shared" si="9"/>
        <v>0</v>
      </c>
      <c r="AM15" s="695" t="s">
        <v>121</v>
      </c>
      <c r="AN15" s="693">
        <f t="shared" si="10"/>
        <v>0</v>
      </c>
      <c r="AO15" s="693">
        <f t="shared" si="11"/>
        <v>0</v>
      </c>
      <c r="AP15" s="693">
        <f t="shared" si="12"/>
        <v>0</v>
      </c>
      <c r="AQ15" s="696"/>
      <c r="AR15" s="401">
        <f t="shared" si="4"/>
        <v>0.34</v>
      </c>
      <c r="AS15" s="402" t="s">
        <v>100</v>
      </c>
      <c r="AT15" s="405">
        <f>2/2</f>
        <v>1</v>
      </c>
      <c r="AU15" s="403" t="s">
        <v>170</v>
      </c>
      <c r="AV15" s="404"/>
      <c r="AW15" s="729" t="str">
        <f t="shared" si="13"/>
        <v>ALTO</v>
      </c>
      <c r="AX15" s="397">
        <f t="shared" si="14"/>
        <v>0.34</v>
      </c>
      <c r="AY15" s="400" t="s">
        <v>102</v>
      </c>
      <c r="AZ15" s="398">
        <f t="shared" si="15"/>
        <v>2.6146000000000003</v>
      </c>
      <c r="BA15" s="398">
        <f t="shared" si="16"/>
        <v>0.44155844155844159</v>
      </c>
      <c r="BB15" s="398">
        <f t="shared" si="17"/>
        <v>0.12641016923076925</v>
      </c>
      <c r="BC15" s="18"/>
      <c r="BD15" s="14">
        <f t="shared" si="5"/>
        <v>0.33</v>
      </c>
      <c r="BE15" s="645" t="s">
        <v>100</v>
      </c>
      <c r="BF15" s="682">
        <f>2/2</f>
        <v>1</v>
      </c>
      <c r="BG15" s="751" t="s">
        <v>101</v>
      </c>
      <c r="BH15" s="752" t="s">
        <v>171</v>
      </c>
      <c r="BI15" s="658" t="str">
        <f t="shared" si="31"/>
        <v>ALTO</v>
      </c>
      <c r="BJ15" s="681">
        <f t="shared" si="18"/>
        <v>0.33</v>
      </c>
      <c r="BK15" s="647" t="s">
        <v>104</v>
      </c>
      <c r="BL15" s="682">
        <f t="shared" si="19"/>
        <v>4.2912873862158647E-2</v>
      </c>
      <c r="BM15" s="682">
        <f t="shared" si="20"/>
        <v>0.25409999999999999</v>
      </c>
      <c r="BN15" s="682">
        <f t="shared" si="21"/>
        <v>0.88758681902539249</v>
      </c>
      <c r="BO15" s="754"/>
      <c r="BP15" s="853">
        <f t="shared" si="6"/>
        <v>0.33</v>
      </c>
      <c r="BQ15" s="854" t="s">
        <v>105</v>
      </c>
      <c r="BR15" s="855">
        <v>1</v>
      </c>
      <c r="BS15" s="856" t="s">
        <v>172</v>
      </c>
      <c r="BT15" s="857"/>
      <c r="BU15" s="905" t="str">
        <f t="shared" si="22"/>
        <v>ALTO</v>
      </c>
      <c r="BV15" s="875">
        <f t="shared" si="23"/>
        <v>0.33</v>
      </c>
      <c r="BW15" s="854" t="s">
        <v>173</v>
      </c>
      <c r="BX15" s="857">
        <f t="shared" si="24"/>
        <v>2.5377000000000001</v>
      </c>
      <c r="BY15" s="857">
        <f t="shared" si="25"/>
        <v>0.4285714285714286</v>
      </c>
      <c r="BZ15" s="857">
        <f t="shared" si="26"/>
        <v>0.12269222307692308</v>
      </c>
      <c r="CA15" s="857">
        <f t="shared" si="27"/>
        <v>0.1245</v>
      </c>
      <c r="CB15" s="16">
        <f t="shared" si="28"/>
        <v>0.66</v>
      </c>
      <c r="CC15" s="16">
        <f t="shared" si="29"/>
        <v>0.34</v>
      </c>
      <c r="CD15" s="16">
        <f t="shared" si="7"/>
        <v>1</v>
      </c>
      <c r="CE15" s="16">
        <f t="shared" si="30"/>
        <v>1</v>
      </c>
      <c r="CF15" s="16" t="e">
        <f>SUM(#REF!/(CC15+CB15))</f>
        <v>#REF!</v>
      </c>
      <c r="CG15" s="19"/>
      <c r="CH15" s="19"/>
      <c r="CI15" s="19"/>
      <c r="CJ15" s="19"/>
      <c r="CK15" s="3" t="s">
        <v>165</v>
      </c>
      <c r="CV15" s="346">
        <f t="shared" si="8"/>
        <v>1</v>
      </c>
    </row>
    <row r="16" spans="1:303" s="3" customFormat="1" ht="143.25" customHeight="1" x14ac:dyDescent="0.25">
      <c r="A16" s="473" t="s">
        <v>79</v>
      </c>
      <c r="B16" s="473" t="s">
        <v>80</v>
      </c>
      <c r="C16" s="473" t="s">
        <v>81</v>
      </c>
      <c r="D16" s="473" t="s">
        <v>82</v>
      </c>
      <c r="E16" s="473" t="s">
        <v>83</v>
      </c>
      <c r="F16" s="473" t="s">
        <v>84</v>
      </c>
      <c r="G16" s="473" t="s">
        <v>85</v>
      </c>
      <c r="H16" s="473" t="s">
        <v>86</v>
      </c>
      <c r="I16" s="473" t="s">
        <v>87</v>
      </c>
      <c r="J16" s="473" t="s">
        <v>152</v>
      </c>
      <c r="K16" s="382" t="s">
        <v>4</v>
      </c>
      <c r="L16" s="474" t="s">
        <v>89</v>
      </c>
      <c r="M16" s="474" t="s">
        <v>174</v>
      </c>
      <c r="N16" s="367" t="s">
        <v>91</v>
      </c>
      <c r="O16" s="367" t="s">
        <v>154</v>
      </c>
      <c r="P16" s="930">
        <v>39542136.277533107</v>
      </c>
      <c r="Q16" s="473" t="s">
        <v>155</v>
      </c>
      <c r="R16" s="475" t="s">
        <v>156</v>
      </c>
      <c r="S16" s="489">
        <v>3</v>
      </c>
      <c r="T16" s="475" t="s">
        <v>175</v>
      </c>
      <c r="U16" s="475" t="s">
        <v>176</v>
      </c>
      <c r="V16" s="489" t="s">
        <v>98</v>
      </c>
      <c r="W16" s="496" t="s">
        <v>177</v>
      </c>
      <c r="X16" s="446">
        <v>0</v>
      </c>
      <c r="Y16" s="447">
        <v>0.33</v>
      </c>
      <c r="Z16" s="447">
        <v>0.33</v>
      </c>
      <c r="AA16" s="517">
        <v>0.34</v>
      </c>
      <c r="AB16" s="525">
        <v>7.69</v>
      </c>
      <c r="AC16" s="413">
        <v>1.2987012987012987</v>
      </c>
      <c r="AD16" s="413">
        <v>0.37179461538461539</v>
      </c>
      <c r="AE16" s="413">
        <v>0.37727272727272726</v>
      </c>
      <c r="AF16" s="692">
        <f t="shared" si="3"/>
        <v>0</v>
      </c>
      <c r="AG16" s="693" t="s">
        <v>146</v>
      </c>
      <c r="AH16" s="694">
        <v>0</v>
      </c>
      <c r="AI16" s="696" t="s">
        <v>147</v>
      </c>
      <c r="AJ16" s="695" t="s">
        <v>160</v>
      </c>
      <c r="AK16" s="693"/>
      <c r="AL16" s="692">
        <f t="shared" si="9"/>
        <v>0</v>
      </c>
      <c r="AM16" s="695" t="s">
        <v>121</v>
      </c>
      <c r="AN16" s="693">
        <f t="shared" si="10"/>
        <v>0</v>
      </c>
      <c r="AO16" s="693">
        <f t="shared" si="11"/>
        <v>0</v>
      </c>
      <c r="AP16" s="693">
        <f t="shared" si="12"/>
        <v>0</v>
      </c>
      <c r="AQ16" s="696"/>
      <c r="AR16" s="401">
        <f t="shared" si="4"/>
        <v>0.33</v>
      </c>
      <c r="AS16" s="402" t="s">
        <v>100</v>
      </c>
      <c r="AT16" s="405">
        <f>3/3</f>
        <v>1</v>
      </c>
      <c r="AU16" s="403" t="s">
        <v>178</v>
      </c>
      <c r="AV16" s="404"/>
      <c r="AW16" s="729" t="str">
        <f t="shared" si="13"/>
        <v>ALTO</v>
      </c>
      <c r="AX16" s="397">
        <f t="shared" si="14"/>
        <v>0.33</v>
      </c>
      <c r="AY16" s="400" t="s">
        <v>102</v>
      </c>
      <c r="AZ16" s="398">
        <f t="shared" si="15"/>
        <v>2.5377000000000001</v>
      </c>
      <c r="BA16" s="398">
        <f t="shared" si="16"/>
        <v>0.4285714285714286</v>
      </c>
      <c r="BB16" s="398">
        <f t="shared" si="17"/>
        <v>0.12269222307692308</v>
      </c>
      <c r="BC16" s="18"/>
      <c r="BD16" s="14">
        <f t="shared" si="5"/>
        <v>0.33</v>
      </c>
      <c r="BE16" s="645" t="s">
        <v>100</v>
      </c>
      <c r="BF16" s="682">
        <f>1/1</f>
        <v>1</v>
      </c>
      <c r="BG16" s="751" t="s">
        <v>101</v>
      </c>
      <c r="BH16" s="752" t="s">
        <v>179</v>
      </c>
      <c r="BI16" s="658" t="str">
        <f t="shared" si="31"/>
        <v>ALTO</v>
      </c>
      <c r="BJ16" s="681">
        <f t="shared" si="18"/>
        <v>0.33</v>
      </c>
      <c r="BK16" s="647" t="s">
        <v>104</v>
      </c>
      <c r="BL16" s="682">
        <f t="shared" si="19"/>
        <v>4.2912873862158647E-2</v>
      </c>
      <c r="BM16" s="682">
        <f t="shared" si="20"/>
        <v>0.25409999999999999</v>
      </c>
      <c r="BN16" s="682">
        <f t="shared" si="21"/>
        <v>0.88758681902539249</v>
      </c>
      <c r="BO16" s="754"/>
      <c r="BP16" s="853">
        <f t="shared" si="6"/>
        <v>0.34</v>
      </c>
      <c r="BQ16" s="854" t="s">
        <v>105</v>
      </c>
      <c r="BR16" s="855">
        <v>1</v>
      </c>
      <c r="BS16" s="856" t="s">
        <v>179</v>
      </c>
      <c r="BT16" s="857"/>
      <c r="BU16" s="905" t="str">
        <f t="shared" si="22"/>
        <v>ALTO</v>
      </c>
      <c r="BV16" s="875">
        <f t="shared" si="23"/>
        <v>0.34</v>
      </c>
      <c r="BW16" s="859" t="s">
        <v>180</v>
      </c>
      <c r="BX16" s="857">
        <f t="shared" si="24"/>
        <v>2.6146000000000003</v>
      </c>
      <c r="BY16" s="857">
        <f t="shared" si="25"/>
        <v>0.44155844155844159</v>
      </c>
      <c r="BZ16" s="857">
        <f t="shared" si="26"/>
        <v>0.12641016923076925</v>
      </c>
      <c r="CA16" s="857">
        <f t="shared" si="27"/>
        <v>0.12827272727272729</v>
      </c>
      <c r="CB16" s="16">
        <f t="shared" si="28"/>
        <v>0.67</v>
      </c>
      <c r="CC16" s="16">
        <f t="shared" si="29"/>
        <v>0.33</v>
      </c>
      <c r="CD16" s="16">
        <f t="shared" si="7"/>
        <v>1</v>
      </c>
      <c r="CE16" s="16">
        <f t="shared" si="30"/>
        <v>1</v>
      </c>
      <c r="CF16" s="16" t="e">
        <f>SUM(#REF!/(CC16+CB16))</f>
        <v>#REF!</v>
      </c>
      <c r="CG16" s="19"/>
      <c r="CH16" s="19"/>
      <c r="CI16" s="19"/>
      <c r="CJ16" s="19"/>
      <c r="CK16" s="3" t="s">
        <v>165</v>
      </c>
      <c r="CV16" s="346">
        <f t="shared" si="8"/>
        <v>1</v>
      </c>
    </row>
    <row r="17" spans="1:100" s="3" customFormat="1" ht="65.099999999999994" customHeight="1" x14ac:dyDescent="0.25">
      <c r="A17" s="473" t="s">
        <v>79</v>
      </c>
      <c r="B17" s="473" t="s">
        <v>80</v>
      </c>
      <c r="C17" s="473" t="s">
        <v>81</v>
      </c>
      <c r="D17" s="473" t="s">
        <v>82</v>
      </c>
      <c r="E17" s="473" t="s">
        <v>83</v>
      </c>
      <c r="F17" s="473" t="s">
        <v>84</v>
      </c>
      <c r="G17" s="473" t="s">
        <v>85</v>
      </c>
      <c r="H17" s="473" t="s">
        <v>86</v>
      </c>
      <c r="I17" s="473" t="s">
        <v>87</v>
      </c>
      <c r="J17" s="473" t="s">
        <v>152</v>
      </c>
      <c r="K17" s="382" t="s">
        <v>4</v>
      </c>
      <c r="L17" s="474" t="s">
        <v>89</v>
      </c>
      <c r="M17" s="474" t="s">
        <v>181</v>
      </c>
      <c r="N17" s="367" t="s">
        <v>91</v>
      </c>
      <c r="O17" s="367" t="s">
        <v>154</v>
      </c>
      <c r="P17" s="930">
        <v>39542136.277533107</v>
      </c>
      <c r="Q17" s="473" t="s">
        <v>155</v>
      </c>
      <c r="R17" s="475" t="s">
        <v>156</v>
      </c>
      <c r="S17" s="511">
        <v>1</v>
      </c>
      <c r="T17" s="475" t="s">
        <v>182</v>
      </c>
      <c r="U17" s="475" t="s">
        <v>183</v>
      </c>
      <c r="V17" s="489" t="s">
        <v>98</v>
      </c>
      <c r="W17" s="496" t="s">
        <v>184</v>
      </c>
      <c r="X17" s="446">
        <v>0</v>
      </c>
      <c r="Y17" s="447">
        <v>0.5</v>
      </c>
      <c r="Z17" s="447">
        <v>0</v>
      </c>
      <c r="AA17" s="517">
        <v>0.5</v>
      </c>
      <c r="AB17" s="525">
        <v>7.69</v>
      </c>
      <c r="AC17" s="413">
        <v>1.2987012987012987</v>
      </c>
      <c r="AD17" s="413">
        <v>0.37179461538461539</v>
      </c>
      <c r="AE17" s="413">
        <v>0.37727272727272726</v>
      </c>
      <c r="AF17" s="692">
        <f t="shared" si="3"/>
        <v>0</v>
      </c>
      <c r="AG17" s="693" t="s">
        <v>146</v>
      </c>
      <c r="AH17" s="694">
        <v>0</v>
      </c>
      <c r="AI17" s="696" t="s">
        <v>147</v>
      </c>
      <c r="AJ17" s="695" t="s">
        <v>160</v>
      </c>
      <c r="AK17" s="693"/>
      <c r="AL17" s="692">
        <f t="shared" si="9"/>
        <v>0</v>
      </c>
      <c r="AM17" s="695" t="s">
        <v>121</v>
      </c>
      <c r="AN17" s="693">
        <f t="shared" si="10"/>
        <v>0</v>
      </c>
      <c r="AO17" s="693">
        <f t="shared" si="11"/>
        <v>0</v>
      </c>
      <c r="AP17" s="693">
        <f t="shared" si="12"/>
        <v>0</v>
      </c>
      <c r="AQ17" s="696"/>
      <c r="AR17" s="401">
        <f t="shared" si="4"/>
        <v>0.5</v>
      </c>
      <c r="AS17" s="402" t="s">
        <v>100</v>
      </c>
      <c r="AT17" s="405">
        <f>1/1</f>
        <v>1</v>
      </c>
      <c r="AU17" s="403" t="s">
        <v>185</v>
      </c>
      <c r="AV17" s="404"/>
      <c r="AW17" s="729" t="str">
        <f t="shared" si="13"/>
        <v>ALTO</v>
      </c>
      <c r="AX17" s="397">
        <f t="shared" si="14"/>
        <v>0.5</v>
      </c>
      <c r="AY17" s="400" t="s">
        <v>186</v>
      </c>
      <c r="AZ17" s="398">
        <f t="shared" si="15"/>
        <v>3.8450000000000002</v>
      </c>
      <c r="BA17" s="398">
        <f t="shared" si="16"/>
        <v>0.64935064935064934</v>
      </c>
      <c r="BB17" s="398">
        <f t="shared" si="17"/>
        <v>0.1858973076923077</v>
      </c>
      <c r="BC17" s="18"/>
      <c r="BD17" s="14">
        <f t="shared" si="5"/>
        <v>0</v>
      </c>
      <c r="BE17" s="645" t="s">
        <v>146</v>
      </c>
      <c r="BF17" s="681"/>
      <c r="BG17" s="753" t="s">
        <v>147</v>
      </c>
      <c r="BH17" s="752" t="s">
        <v>187</v>
      </c>
      <c r="BI17" s="658" t="str">
        <f t="shared" si="31"/>
        <v>BAJO</v>
      </c>
      <c r="BJ17" s="681">
        <f t="shared" si="18"/>
        <v>0</v>
      </c>
      <c r="BK17" s="754" t="s">
        <v>149</v>
      </c>
      <c r="BL17" s="682">
        <f t="shared" si="19"/>
        <v>0</v>
      </c>
      <c r="BM17" s="682">
        <f t="shared" si="20"/>
        <v>0</v>
      </c>
      <c r="BN17" s="682">
        <f t="shared" si="21"/>
        <v>0</v>
      </c>
      <c r="BO17" s="754"/>
      <c r="BP17" s="853">
        <f t="shared" si="6"/>
        <v>0.5</v>
      </c>
      <c r="BQ17" s="854" t="s">
        <v>105</v>
      </c>
      <c r="BR17" s="855">
        <v>1</v>
      </c>
      <c r="BS17" s="856" t="s">
        <v>188</v>
      </c>
      <c r="BT17" s="857"/>
      <c r="BU17" s="905" t="str">
        <f t="shared" si="22"/>
        <v>ALTO</v>
      </c>
      <c r="BV17" s="875">
        <f t="shared" si="23"/>
        <v>0.5</v>
      </c>
      <c r="BW17" s="856" t="s">
        <v>189</v>
      </c>
      <c r="BX17" s="857">
        <f t="shared" si="24"/>
        <v>3.8450000000000002</v>
      </c>
      <c r="BY17" s="857">
        <f t="shared" si="25"/>
        <v>0.64935064935064934</v>
      </c>
      <c r="BZ17" s="857">
        <f t="shared" si="26"/>
        <v>0.1858973076923077</v>
      </c>
      <c r="CA17" s="857">
        <f t="shared" si="27"/>
        <v>0.18863636363636363</v>
      </c>
      <c r="CB17" s="16">
        <f t="shared" si="28"/>
        <v>0.5</v>
      </c>
      <c r="CC17" s="16">
        <f t="shared" si="29"/>
        <v>0.5</v>
      </c>
      <c r="CD17" s="16">
        <f t="shared" si="7"/>
        <v>1</v>
      </c>
      <c r="CE17" s="16">
        <f t="shared" si="30"/>
        <v>1</v>
      </c>
      <c r="CF17" s="16" t="e">
        <f>SUM(#REF!/(CC17+CB17))</f>
        <v>#REF!</v>
      </c>
      <c r="CG17" s="19"/>
      <c r="CH17" s="19"/>
      <c r="CI17" s="19"/>
      <c r="CJ17" s="19"/>
      <c r="CK17" s="3" t="s">
        <v>165</v>
      </c>
      <c r="CV17" s="346">
        <f t="shared" si="8"/>
        <v>1</v>
      </c>
    </row>
    <row r="18" spans="1:100" s="3" customFormat="1" ht="162.75" customHeight="1" x14ac:dyDescent="0.25">
      <c r="A18" s="473" t="s">
        <v>79</v>
      </c>
      <c r="B18" s="473" t="s">
        <v>80</v>
      </c>
      <c r="C18" s="473" t="s">
        <v>81</v>
      </c>
      <c r="D18" s="473" t="s">
        <v>82</v>
      </c>
      <c r="E18" s="473" t="s">
        <v>83</v>
      </c>
      <c r="F18" s="473" t="s">
        <v>84</v>
      </c>
      <c r="G18" s="473" t="s">
        <v>85</v>
      </c>
      <c r="H18" s="473" t="s">
        <v>86</v>
      </c>
      <c r="I18" s="473" t="s">
        <v>87</v>
      </c>
      <c r="J18" s="473" t="s">
        <v>152</v>
      </c>
      <c r="K18" s="382" t="s">
        <v>4</v>
      </c>
      <c r="L18" s="474" t="s">
        <v>89</v>
      </c>
      <c r="M18" s="474" t="s">
        <v>190</v>
      </c>
      <c r="N18" s="367" t="s">
        <v>91</v>
      </c>
      <c r="O18" s="367" t="s">
        <v>154</v>
      </c>
      <c r="P18" s="930">
        <v>39542136.277533107</v>
      </c>
      <c r="Q18" s="473" t="s">
        <v>155</v>
      </c>
      <c r="R18" s="475" t="s">
        <v>156</v>
      </c>
      <c r="S18" s="511">
        <v>1</v>
      </c>
      <c r="T18" s="475" t="s">
        <v>191</v>
      </c>
      <c r="U18" s="475" t="s">
        <v>158</v>
      </c>
      <c r="V18" s="489" t="s">
        <v>98</v>
      </c>
      <c r="W18" s="496" t="s">
        <v>192</v>
      </c>
      <c r="X18" s="446">
        <v>0</v>
      </c>
      <c r="Y18" s="447">
        <v>0</v>
      </c>
      <c r="Z18" s="447">
        <v>0.34</v>
      </c>
      <c r="AA18" s="517">
        <v>0.66</v>
      </c>
      <c r="AB18" s="525">
        <v>7.69</v>
      </c>
      <c r="AC18" s="413">
        <v>1.2987012987012987</v>
      </c>
      <c r="AD18" s="413">
        <v>0.37179461538461539</v>
      </c>
      <c r="AE18" s="413">
        <v>0.37727272727272726</v>
      </c>
      <c r="AF18" s="692">
        <f t="shared" si="3"/>
        <v>0</v>
      </c>
      <c r="AG18" s="693" t="s">
        <v>146</v>
      </c>
      <c r="AH18" s="694">
        <v>0</v>
      </c>
      <c r="AI18" s="696" t="s">
        <v>147</v>
      </c>
      <c r="AJ18" s="695" t="s">
        <v>160</v>
      </c>
      <c r="AK18" s="693"/>
      <c r="AL18" s="692">
        <f t="shared" si="9"/>
        <v>0</v>
      </c>
      <c r="AM18" s="695" t="s">
        <v>121</v>
      </c>
      <c r="AN18" s="693">
        <f t="shared" si="10"/>
        <v>0</v>
      </c>
      <c r="AO18" s="693">
        <f t="shared" si="11"/>
        <v>0</v>
      </c>
      <c r="AP18" s="693">
        <f t="shared" si="12"/>
        <v>0</v>
      </c>
      <c r="AQ18" s="696"/>
      <c r="AR18" s="401">
        <f t="shared" si="4"/>
        <v>0</v>
      </c>
      <c r="AS18" s="402" t="s">
        <v>146</v>
      </c>
      <c r="AT18" s="405">
        <v>0</v>
      </c>
      <c r="AU18" s="403" t="s">
        <v>101</v>
      </c>
      <c r="AV18" s="404"/>
      <c r="AW18" s="729"/>
      <c r="AX18" s="397">
        <f t="shared" si="14"/>
        <v>0</v>
      </c>
      <c r="AY18" s="400" t="s">
        <v>102</v>
      </c>
      <c r="AZ18" s="398">
        <f t="shared" si="15"/>
        <v>0</v>
      </c>
      <c r="BA18" s="398">
        <f t="shared" si="16"/>
        <v>0</v>
      </c>
      <c r="BB18" s="398">
        <f t="shared" si="17"/>
        <v>0</v>
      </c>
      <c r="BC18" s="18"/>
      <c r="BD18" s="14">
        <f t="shared" si="5"/>
        <v>0.34</v>
      </c>
      <c r="BE18" s="645" t="s">
        <v>100</v>
      </c>
      <c r="BF18" s="682">
        <f>1/1</f>
        <v>1</v>
      </c>
      <c r="BG18" s="753" t="s">
        <v>147</v>
      </c>
      <c r="BH18" s="752" t="s">
        <v>193</v>
      </c>
      <c r="BI18" s="658" t="str">
        <f t="shared" si="31"/>
        <v>ALTO</v>
      </c>
      <c r="BJ18" s="681">
        <f t="shared" si="18"/>
        <v>0.34</v>
      </c>
      <c r="BK18" s="647" t="s">
        <v>104</v>
      </c>
      <c r="BL18" s="682">
        <f t="shared" si="19"/>
        <v>4.4213263979193757E-2</v>
      </c>
      <c r="BM18" s="682">
        <f t="shared" si="20"/>
        <v>0.26180000000000003</v>
      </c>
      <c r="BN18" s="682">
        <f t="shared" si="21"/>
        <v>0.91448338929888917</v>
      </c>
      <c r="BO18" s="754"/>
      <c r="BP18" s="853">
        <f t="shared" si="6"/>
        <v>0.66</v>
      </c>
      <c r="BQ18" s="854" t="s">
        <v>105</v>
      </c>
      <c r="BR18" s="855">
        <v>1</v>
      </c>
      <c r="BS18" s="856" t="s">
        <v>193</v>
      </c>
      <c r="BT18" s="857"/>
      <c r="BU18" s="905" t="str">
        <f t="shared" si="22"/>
        <v>ALTO</v>
      </c>
      <c r="BV18" s="875">
        <f t="shared" si="23"/>
        <v>0.66</v>
      </c>
      <c r="BW18" s="856" t="s">
        <v>194</v>
      </c>
      <c r="BX18" s="857">
        <f t="shared" si="24"/>
        <v>5.0754000000000001</v>
      </c>
      <c r="BY18" s="857">
        <f t="shared" si="25"/>
        <v>0.85714285714285721</v>
      </c>
      <c r="BZ18" s="857">
        <f t="shared" si="26"/>
        <v>0.24538444615384616</v>
      </c>
      <c r="CA18" s="857">
        <f t="shared" si="27"/>
        <v>0.249</v>
      </c>
      <c r="CB18" s="16">
        <f t="shared" si="28"/>
        <v>1</v>
      </c>
      <c r="CC18" s="16">
        <f t="shared" si="29"/>
        <v>0</v>
      </c>
      <c r="CD18" s="16">
        <f t="shared" si="7"/>
        <v>1</v>
      </c>
      <c r="CE18" s="16">
        <f t="shared" si="30"/>
        <v>1</v>
      </c>
      <c r="CF18" s="16" t="e">
        <f>SUM(#REF!/(CC18+CB18))</f>
        <v>#REF!</v>
      </c>
      <c r="CG18" s="19"/>
      <c r="CH18" s="19"/>
      <c r="CI18" s="19"/>
      <c r="CJ18" s="19"/>
      <c r="CK18" s="3" t="s">
        <v>165</v>
      </c>
      <c r="CV18" s="346">
        <f t="shared" si="8"/>
        <v>1</v>
      </c>
    </row>
    <row r="19" spans="1:100" s="3" customFormat="1" ht="90" customHeight="1" x14ac:dyDescent="0.25">
      <c r="A19" s="473" t="s">
        <v>79</v>
      </c>
      <c r="B19" s="473" t="s">
        <v>80</v>
      </c>
      <c r="C19" s="473" t="s">
        <v>81</v>
      </c>
      <c r="D19" s="473" t="s">
        <v>82</v>
      </c>
      <c r="E19" s="473" t="s">
        <v>83</v>
      </c>
      <c r="F19" s="473" t="s">
        <v>84</v>
      </c>
      <c r="G19" s="473" t="s">
        <v>85</v>
      </c>
      <c r="H19" s="473" t="s">
        <v>86</v>
      </c>
      <c r="I19" s="473" t="s">
        <v>87</v>
      </c>
      <c r="J19" s="473" t="s">
        <v>152</v>
      </c>
      <c r="K19" s="382" t="s">
        <v>4</v>
      </c>
      <c r="L19" s="474" t="s">
        <v>89</v>
      </c>
      <c r="M19" s="474" t="s">
        <v>195</v>
      </c>
      <c r="N19" s="367" t="s">
        <v>91</v>
      </c>
      <c r="O19" s="367" t="s">
        <v>154</v>
      </c>
      <c r="P19" s="930">
        <v>39542136.277533107</v>
      </c>
      <c r="Q19" s="473" t="s">
        <v>155</v>
      </c>
      <c r="R19" s="475" t="s">
        <v>156</v>
      </c>
      <c r="S19" s="357">
        <v>7</v>
      </c>
      <c r="T19" s="369" t="s">
        <v>196</v>
      </c>
      <c r="U19" s="357" t="s">
        <v>158</v>
      </c>
      <c r="V19" s="370" t="s">
        <v>98</v>
      </c>
      <c r="W19" s="497" t="s">
        <v>197</v>
      </c>
      <c r="X19" s="432">
        <v>0</v>
      </c>
      <c r="Y19" s="432">
        <f>1/7</f>
        <v>0.14285714285714285</v>
      </c>
      <c r="Z19" s="432">
        <f>3/7</f>
        <v>0.42857142857142855</v>
      </c>
      <c r="AA19" s="444">
        <f>3/7</f>
        <v>0.42857142857142855</v>
      </c>
      <c r="AB19" s="525">
        <v>7.69</v>
      </c>
      <c r="AC19" s="413">
        <v>1.2987012987012987</v>
      </c>
      <c r="AD19" s="413">
        <v>0.37179461538461539</v>
      </c>
      <c r="AE19" s="413">
        <v>0.37727272727272726</v>
      </c>
      <c r="AF19" s="692">
        <f t="shared" si="3"/>
        <v>0</v>
      </c>
      <c r="AG19" s="693" t="s">
        <v>146</v>
      </c>
      <c r="AH19" s="694">
        <v>0</v>
      </c>
      <c r="AI19" s="696" t="s">
        <v>147</v>
      </c>
      <c r="AJ19" s="695" t="s">
        <v>160</v>
      </c>
      <c r="AK19" s="693"/>
      <c r="AL19" s="692">
        <f t="shared" si="9"/>
        <v>0</v>
      </c>
      <c r="AM19" s="695" t="s">
        <v>121</v>
      </c>
      <c r="AN19" s="693">
        <f t="shared" si="10"/>
        <v>0</v>
      </c>
      <c r="AO19" s="693">
        <f t="shared" si="11"/>
        <v>0</v>
      </c>
      <c r="AP19" s="693">
        <f t="shared" si="12"/>
        <v>0</v>
      </c>
      <c r="AQ19" s="696"/>
      <c r="AR19" s="401">
        <f t="shared" si="4"/>
        <v>0.14285714285714285</v>
      </c>
      <c r="AS19" s="402" t="s">
        <v>100</v>
      </c>
      <c r="AT19" s="405">
        <f>1/1</f>
        <v>1</v>
      </c>
      <c r="AU19" s="403" t="s">
        <v>101</v>
      </c>
      <c r="AV19" s="404"/>
      <c r="AW19" s="729" t="str">
        <f t="shared" si="13"/>
        <v>ALTO</v>
      </c>
      <c r="AX19" s="397">
        <f t="shared" si="14"/>
        <v>0.14285714285714285</v>
      </c>
      <c r="AY19" s="400" t="s">
        <v>102</v>
      </c>
      <c r="AZ19" s="398">
        <f t="shared" si="15"/>
        <v>1.0985714285714285</v>
      </c>
      <c r="BA19" s="398">
        <f t="shared" si="16"/>
        <v>0.18552875695732837</v>
      </c>
      <c r="BB19" s="398">
        <f t="shared" si="17"/>
        <v>5.3113516483516483E-2</v>
      </c>
      <c r="BC19" s="18"/>
      <c r="BD19" s="14">
        <f t="shared" si="5"/>
        <v>0.42857142857142855</v>
      </c>
      <c r="BE19" s="645" t="s">
        <v>100</v>
      </c>
      <c r="BF19" s="682">
        <f>3/3</f>
        <v>1</v>
      </c>
      <c r="BG19" s="751" t="s">
        <v>101</v>
      </c>
      <c r="BH19" s="752" t="s">
        <v>198</v>
      </c>
      <c r="BI19" s="658" t="str">
        <f t="shared" si="31"/>
        <v>ALTO</v>
      </c>
      <c r="BJ19" s="681">
        <f t="shared" si="18"/>
        <v>0.42857142857142855</v>
      </c>
      <c r="BK19" s="647" t="s">
        <v>104</v>
      </c>
      <c r="BL19" s="682">
        <f t="shared" si="19"/>
        <v>5.5731005015790445E-2</v>
      </c>
      <c r="BM19" s="682">
        <f t="shared" si="20"/>
        <v>0.32999999999999996</v>
      </c>
      <c r="BN19" s="682">
        <f t="shared" si="21"/>
        <v>1.1527101545784317</v>
      </c>
      <c r="BO19" s="754"/>
      <c r="BP19" s="853">
        <f t="shared" si="6"/>
        <v>0.42857142857142855</v>
      </c>
      <c r="BQ19" s="854" t="s">
        <v>105</v>
      </c>
      <c r="BR19" s="855">
        <v>1</v>
      </c>
      <c r="BS19" s="856" t="s">
        <v>199</v>
      </c>
      <c r="BT19" s="857"/>
      <c r="BU19" s="905" t="str">
        <f t="shared" si="22"/>
        <v>ALTO</v>
      </c>
      <c r="BV19" s="875">
        <f t="shared" si="23"/>
        <v>0.42857142857142855</v>
      </c>
      <c r="BW19" s="854" t="s">
        <v>200</v>
      </c>
      <c r="BX19" s="857">
        <f t="shared" si="24"/>
        <v>3.2957142857142858</v>
      </c>
      <c r="BY19" s="857">
        <f t="shared" si="25"/>
        <v>0.55658627087198509</v>
      </c>
      <c r="BZ19" s="857">
        <f t="shared" si="26"/>
        <v>0.15934054945054946</v>
      </c>
      <c r="CA19" s="857">
        <f t="shared" si="27"/>
        <v>0.16168831168831169</v>
      </c>
      <c r="CB19" s="16">
        <f t="shared" si="28"/>
        <v>0.8571428571428571</v>
      </c>
      <c r="CC19" s="16">
        <f t="shared" si="29"/>
        <v>0.14285714285714285</v>
      </c>
      <c r="CD19" s="16">
        <f t="shared" si="7"/>
        <v>1</v>
      </c>
      <c r="CE19" s="16">
        <f t="shared" si="30"/>
        <v>1</v>
      </c>
      <c r="CF19" s="16" t="e">
        <f>SUM(#REF!/(CC19+CB19))</f>
        <v>#REF!</v>
      </c>
      <c r="CG19" s="19"/>
      <c r="CH19" s="19"/>
      <c r="CI19" s="19"/>
      <c r="CJ19" s="19"/>
      <c r="CK19" s="3" t="s">
        <v>165</v>
      </c>
      <c r="CV19" s="346">
        <f t="shared" si="8"/>
        <v>1</v>
      </c>
    </row>
    <row r="20" spans="1:100" s="3" customFormat="1" ht="228" customHeight="1" x14ac:dyDescent="0.25">
      <c r="A20" s="473" t="s">
        <v>79</v>
      </c>
      <c r="B20" s="473" t="s">
        <v>80</v>
      </c>
      <c r="C20" s="473" t="s">
        <v>81</v>
      </c>
      <c r="D20" s="473" t="s">
        <v>82</v>
      </c>
      <c r="E20" s="473" t="s">
        <v>83</v>
      </c>
      <c r="F20" s="473" t="s">
        <v>84</v>
      </c>
      <c r="G20" s="473" t="s">
        <v>85</v>
      </c>
      <c r="H20" s="473" t="s">
        <v>86</v>
      </c>
      <c r="I20" s="473" t="s">
        <v>87</v>
      </c>
      <c r="J20" s="473" t="s">
        <v>152</v>
      </c>
      <c r="K20" s="382" t="s">
        <v>4</v>
      </c>
      <c r="L20" s="474" t="s">
        <v>89</v>
      </c>
      <c r="M20" s="474" t="s">
        <v>201</v>
      </c>
      <c r="N20" s="367" t="s">
        <v>91</v>
      </c>
      <c r="O20" s="367" t="s">
        <v>202</v>
      </c>
      <c r="P20" s="930">
        <v>39542136.277533107</v>
      </c>
      <c r="Q20" s="473" t="s">
        <v>155</v>
      </c>
      <c r="R20" s="475" t="s">
        <v>156</v>
      </c>
      <c r="S20" s="511">
        <v>1</v>
      </c>
      <c r="T20" s="475" t="s">
        <v>203</v>
      </c>
      <c r="U20" s="475" t="s">
        <v>204</v>
      </c>
      <c r="V20" s="489" t="s">
        <v>98</v>
      </c>
      <c r="W20" s="496" t="s">
        <v>205</v>
      </c>
      <c r="X20" s="446">
        <v>0</v>
      </c>
      <c r="Y20" s="447">
        <v>0</v>
      </c>
      <c r="Z20" s="447">
        <v>0</v>
      </c>
      <c r="AA20" s="517">
        <v>1</v>
      </c>
      <c r="AB20" s="525">
        <v>7.69</v>
      </c>
      <c r="AC20" s="413">
        <v>1.2987012987012987</v>
      </c>
      <c r="AD20" s="413">
        <v>0.37179461538461539</v>
      </c>
      <c r="AE20" s="413">
        <v>0.37727272727272726</v>
      </c>
      <c r="AF20" s="692">
        <f t="shared" si="3"/>
        <v>0</v>
      </c>
      <c r="AG20" s="693" t="s">
        <v>146</v>
      </c>
      <c r="AH20" s="694">
        <v>0</v>
      </c>
      <c r="AI20" s="696" t="s">
        <v>147</v>
      </c>
      <c r="AJ20" s="695" t="s">
        <v>160</v>
      </c>
      <c r="AK20" s="693"/>
      <c r="AL20" s="692">
        <f t="shared" si="9"/>
        <v>0</v>
      </c>
      <c r="AM20" s="695" t="s">
        <v>121</v>
      </c>
      <c r="AN20" s="693">
        <f t="shared" si="10"/>
        <v>0</v>
      </c>
      <c r="AO20" s="693">
        <f t="shared" si="11"/>
        <v>0</v>
      </c>
      <c r="AP20" s="693">
        <f t="shared" si="12"/>
        <v>0</v>
      </c>
      <c r="AQ20" s="696"/>
      <c r="AR20" s="401">
        <f t="shared" si="4"/>
        <v>0</v>
      </c>
      <c r="AS20" s="402" t="s">
        <v>146</v>
      </c>
      <c r="AT20" s="405">
        <v>0</v>
      </c>
      <c r="AU20" s="403"/>
      <c r="AV20" s="406" t="s">
        <v>160</v>
      </c>
      <c r="AW20" s="729"/>
      <c r="AX20" s="397">
        <f t="shared" si="14"/>
        <v>0</v>
      </c>
      <c r="AY20" s="400" t="s">
        <v>121</v>
      </c>
      <c r="AZ20" s="398">
        <f t="shared" si="15"/>
        <v>0</v>
      </c>
      <c r="BA20" s="398">
        <f t="shared" si="16"/>
        <v>0</v>
      </c>
      <c r="BB20" s="398">
        <f t="shared" si="17"/>
        <v>0</v>
      </c>
      <c r="BC20" s="18"/>
      <c r="BD20" s="14">
        <f t="shared" si="5"/>
        <v>0</v>
      </c>
      <c r="BE20" s="645" t="s">
        <v>146</v>
      </c>
      <c r="BF20" s="681"/>
      <c r="BG20" s="753" t="s">
        <v>147</v>
      </c>
      <c r="BH20" s="752" t="s">
        <v>148</v>
      </c>
      <c r="BI20" s="658" t="str">
        <f t="shared" si="31"/>
        <v>BAJO</v>
      </c>
      <c r="BJ20" s="681">
        <f t="shared" si="18"/>
        <v>0</v>
      </c>
      <c r="BK20" s="754" t="s">
        <v>149</v>
      </c>
      <c r="BL20" s="682">
        <f t="shared" si="19"/>
        <v>0</v>
      </c>
      <c r="BM20" s="682">
        <f t="shared" si="20"/>
        <v>0</v>
      </c>
      <c r="BN20" s="682">
        <f t="shared" si="21"/>
        <v>0</v>
      </c>
      <c r="BO20" s="754"/>
      <c r="BP20" s="853">
        <f t="shared" si="6"/>
        <v>1</v>
      </c>
      <c r="BQ20" s="854" t="s">
        <v>105</v>
      </c>
      <c r="BR20" s="855">
        <v>1</v>
      </c>
      <c r="BS20" s="856" t="s">
        <v>206</v>
      </c>
      <c r="BT20" s="857"/>
      <c r="BU20" s="905" t="str">
        <f t="shared" si="22"/>
        <v>ALTO</v>
      </c>
      <c r="BV20" s="875">
        <f t="shared" si="23"/>
        <v>1</v>
      </c>
      <c r="BW20" s="854" t="s">
        <v>207</v>
      </c>
      <c r="BX20" s="857">
        <f t="shared" si="24"/>
        <v>7.69</v>
      </c>
      <c r="BY20" s="857">
        <f t="shared" si="25"/>
        <v>1.2987012987012987</v>
      </c>
      <c r="BZ20" s="857">
        <f t="shared" si="26"/>
        <v>0.37179461538461539</v>
      </c>
      <c r="CA20" s="857">
        <f t="shared" si="27"/>
        <v>0.37727272727272726</v>
      </c>
      <c r="CB20" s="16">
        <f t="shared" si="28"/>
        <v>1</v>
      </c>
      <c r="CC20" s="16">
        <f t="shared" si="29"/>
        <v>0</v>
      </c>
      <c r="CD20" s="16">
        <f t="shared" si="7"/>
        <v>1</v>
      </c>
      <c r="CE20" s="16">
        <f t="shared" si="30"/>
        <v>1</v>
      </c>
      <c r="CF20" s="16" t="e">
        <f>SUM(#REF!/(CC20+CB20))</f>
        <v>#REF!</v>
      </c>
      <c r="CG20" s="19"/>
      <c r="CH20" s="19"/>
      <c r="CI20" s="19"/>
      <c r="CJ20" s="19"/>
      <c r="CK20" s="3" t="s">
        <v>165</v>
      </c>
      <c r="CV20" s="346">
        <f t="shared" si="8"/>
        <v>1</v>
      </c>
    </row>
    <row r="21" spans="1:100" s="3" customFormat="1" ht="242.25" x14ac:dyDescent="0.25">
      <c r="A21" s="350" t="s">
        <v>79</v>
      </c>
      <c r="B21" s="350" t="s">
        <v>80</v>
      </c>
      <c r="C21" s="350" t="s">
        <v>81</v>
      </c>
      <c r="D21" s="350" t="s">
        <v>82</v>
      </c>
      <c r="E21" s="350" t="s">
        <v>83</v>
      </c>
      <c r="F21" s="350" t="s">
        <v>84</v>
      </c>
      <c r="G21" s="350" t="s">
        <v>85</v>
      </c>
      <c r="H21" s="350" t="s">
        <v>86</v>
      </c>
      <c r="I21" s="350" t="s">
        <v>87</v>
      </c>
      <c r="J21" s="350" t="s">
        <v>88</v>
      </c>
      <c r="K21" s="364" t="s">
        <v>208</v>
      </c>
      <c r="L21" s="364" t="s">
        <v>89</v>
      </c>
      <c r="M21" s="456" t="s">
        <v>209</v>
      </c>
      <c r="N21" s="361" t="s">
        <v>210</v>
      </c>
      <c r="O21" s="361" t="s">
        <v>211</v>
      </c>
      <c r="P21" s="662">
        <v>74153895.333333328</v>
      </c>
      <c r="Q21" s="364" t="s">
        <v>94</v>
      </c>
      <c r="R21" s="364" t="s">
        <v>213</v>
      </c>
      <c r="S21" s="347">
        <v>1</v>
      </c>
      <c r="T21" s="366" t="s">
        <v>214</v>
      </c>
      <c r="U21" s="366" t="s">
        <v>215</v>
      </c>
      <c r="V21" s="364" t="s">
        <v>98</v>
      </c>
      <c r="W21" s="366" t="s">
        <v>216</v>
      </c>
      <c r="X21" s="436">
        <v>0</v>
      </c>
      <c r="Y21" s="436">
        <v>0.2</v>
      </c>
      <c r="Z21" s="436">
        <v>0.4</v>
      </c>
      <c r="AA21" s="515">
        <v>0.4</v>
      </c>
      <c r="AB21" s="525">
        <v>6.25</v>
      </c>
      <c r="AC21" s="413">
        <v>1.2987012987012987</v>
      </c>
      <c r="AD21" s="413">
        <v>0.30208312500000001</v>
      </c>
      <c r="AE21" s="413">
        <v>0.37727272727272726</v>
      </c>
      <c r="AF21" s="692">
        <f t="shared" si="3"/>
        <v>0</v>
      </c>
      <c r="AG21" s="693" t="s">
        <v>146</v>
      </c>
      <c r="AH21" s="698">
        <v>0</v>
      </c>
      <c r="AI21" s="695"/>
      <c r="AJ21" s="696"/>
      <c r="AK21" s="693"/>
      <c r="AL21" s="692">
        <f t="shared" si="9"/>
        <v>0</v>
      </c>
      <c r="AM21" s="695" t="s">
        <v>121</v>
      </c>
      <c r="AN21" s="693">
        <f t="shared" si="10"/>
        <v>0</v>
      </c>
      <c r="AO21" s="693">
        <f t="shared" si="11"/>
        <v>0</v>
      </c>
      <c r="AP21" s="693">
        <f t="shared" si="12"/>
        <v>0</v>
      </c>
      <c r="AQ21" s="696"/>
      <c r="AR21" s="401">
        <f t="shared" si="4"/>
        <v>0.2</v>
      </c>
      <c r="AS21" s="402" t="s">
        <v>100</v>
      </c>
      <c r="AT21" s="730">
        <f>1/2</f>
        <v>0.5</v>
      </c>
      <c r="AU21" s="631" t="s">
        <v>217</v>
      </c>
      <c r="AV21" s="631" t="s">
        <v>218</v>
      </c>
      <c r="AW21" s="729" t="str">
        <f t="shared" si="13"/>
        <v>BAJO</v>
      </c>
      <c r="AX21" s="397">
        <f t="shared" si="14"/>
        <v>0.1</v>
      </c>
      <c r="AY21" s="406" t="s">
        <v>219</v>
      </c>
      <c r="AZ21" s="398">
        <f t="shared" si="15"/>
        <v>0.625</v>
      </c>
      <c r="BA21" s="398">
        <f t="shared" si="16"/>
        <v>0.12987012987012989</v>
      </c>
      <c r="BB21" s="398">
        <f t="shared" si="17"/>
        <v>3.0208312500000001E-2</v>
      </c>
      <c r="BC21" s="18"/>
      <c r="BD21" s="14">
        <f t="shared" si="5"/>
        <v>0.4</v>
      </c>
      <c r="BE21" s="677" t="s">
        <v>220</v>
      </c>
      <c r="BF21" s="682">
        <f>3/4</f>
        <v>0.75</v>
      </c>
      <c r="BG21" s="680" t="s">
        <v>221</v>
      </c>
      <c r="BH21" s="680"/>
      <c r="BI21" s="658" t="str">
        <f t="shared" si="31"/>
        <v>MEDIO</v>
      </c>
      <c r="BJ21" s="681">
        <f t="shared" si="18"/>
        <v>0.30000000000000004</v>
      </c>
      <c r="BK21" s="680" t="s">
        <v>222</v>
      </c>
      <c r="BL21" s="682">
        <f t="shared" si="19"/>
        <v>4.8000000000000008E-2</v>
      </c>
      <c r="BM21" s="682">
        <f t="shared" si="20"/>
        <v>0.23100000000000004</v>
      </c>
      <c r="BN21" s="682">
        <f t="shared" si="21"/>
        <v>0.99310413317526436</v>
      </c>
      <c r="BO21" s="754"/>
      <c r="BP21" s="860">
        <v>0.4</v>
      </c>
      <c r="BQ21" s="854" t="s">
        <v>105</v>
      </c>
      <c r="BR21" s="861">
        <f>100/100</f>
        <v>1</v>
      </c>
      <c r="BS21" s="854"/>
      <c r="BT21" s="857"/>
      <c r="BU21" s="905" t="str">
        <f t="shared" si="22"/>
        <v>ALTO</v>
      </c>
      <c r="BV21" s="875">
        <f t="shared" si="23"/>
        <v>0.4</v>
      </c>
      <c r="BW21" s="859" t="s">
        <v>223</v>
      </c>
      <c r="BX21" s="857">
        <f t="shared" si="24"/>
        <v>2.5</v>
      </c>
      <c r="BY21" s="857">
        <f t="shared" si="25"/>
        <v>0.51948051948051954</v>
      </c>
      <c r="BZ21" s="857">
        <f t="shared" si="26"/>
        <v>0.12083325</v>
      </c>
      <c r="CA21" s="857">
        <f t="shared" si="27"/>
        <v>0.15090909090909091</v>
      </c>
      <c r="CB21" s="16">
        <f t="shared" si="28"/>
        <v>0.8</v>
      </c>
      <c r="CC21" s="16">
        <f t="shared" si="29"/>
        <v>0.2</v>
      </c>
      <c r="CD21" s="16">
        <f t="shared" si="7"/>
        <v>1</v>
      </c>
      <c r="CE21" s="16">
        <f t="shared" si="30"/>
        <v>0.8</v>
      </c>
      <c r="CF21" s="16" t="e">
        <f>SUM(#REF!/(CC21+CB21))</f>
        <v>#REF!</v>
      </c>
      <c r="CG21" s="19"/>
      <c r="CH21" s="19"/>
      <c r="CI21" s="19"/>
      <c r="CJ21" s="19"/>
      <c r="CV21" s="346">
        <f t="shared" si="8"/>
        <v>1</v>
      </c>
    </row>
    <row r="22" spans="1:100" s="418" customFormat="1" ht="242.25" x14ac:dyDescent="0.25">
      <c r="A22" s="455" t="s">
        <v>79</v>
      </c>
      <c r="B22" s="455" t="s">
        <v>80</v>
      </c>
      <c r="C22" s="455" t="s">
        <v>81</v>
      </c>
      <c r="D22" s="455" t="s">
        <v>82</v>
      </c>
      <c r="E22" s="455" t="s">
        <v>83</v>
      </c>
      <c r="F22" s="455" t="s">
        <v>84</v>
      </c>
      <c r="G22" s="455" t="s">
        <v>85</v>
      </c>
      <c r="H22" s="455" t="s">
        <v>86</v>
      </c>
      <c r="I22" s="455" t="s">
        <v>87</v>
      </c>
      <c r="J22" s="455" t="s">
        <v>88</v>
      </c>
      <c r="K22" s="456" t="s">
        <v>208</v>
      </c>
      <c r="L22" s="456" t="s">
        <v>89</v>
      </c>
      <c r="M22" s="456" t="s">
        <v>224</v>
      </c>
      <c r="N22" s="457" t="s">
        <v>210</v>
      </c>
      <c r="O22" s="457" t="s">
        <v>211</v>
      </c>
      <c r="P22" s="914"/>
      <c r="Q22" s="456" t="s">
        <v>94</v>
      </c>
      <c r="R22" s="456" t="s">
        <v>95</v>
      </c>
      <c r="S22" s="458">
        <v>1</v>
      </c>
      <c r="T22" s="459" t="s">
        <v>225</v>
      </c>
      <c r="U22" s="459" t="s">
        <v>215</v>
      </c>
      <c r="V22" s="456" t="s">
        <v>98</v>
      </c>
      <c r="W22" s="498" t="s">
        <v>226</v>
      </c>
      <c r="X22" s="460"/>
      <c r="Y22" s="460"/>
      <c r="Z22" s="460"/>
      <c r="AA22" s="518"/>
      <c r="AB22" s="525"/>
      <c r="AC22" s="413"/>
      <c r="AD22" s="413"/>
      <c r="AE22" s="413"/>
      <c r="AF22" s="692">
        <f t="shared" si="3"/>
        <v>0</v>
      </c>
      <c r="AG22" s="693" t="s">
        <v>146</v>
      </c>
      <c r="AH22" s="699"/>
      <c r="AI22" s="700"/>
      <c r="AJ22" s="701"/>
      <c r="AK22" s="693"/>
      <c r="AL22" s="702"/>
      <c r="AM22" s="701"/>
      <c r="AN22" s="703"/>
      <c r="AO22" s="703"/>
      <c r="AP22" s="703"/>
      <c r="AQ22" s="701"/>
      <c r="AR22" s="414"/>
      <c r="AS22" s="402"/>
      <c r="AT22" s="731"/>
      <c r="AU22" s="732"/>
      <c r="AV22" s="731"/>
      <c r="AW22" s="729"/>
      <c r="AX22" s="733"/>
      <c r="AY22" s="734"/>
      <c r="AZ22" s="735"/>
      <c r="BA22" s="735"/>
      <c r="BB22" s="735"/>
      <c r="BC22" s="416"/>
      <c r="BD22" s="415"/>
      <c r="BE22" s="650" t="s">
        <v>227</v>
      </c>
      <c r="BF22" s="755"/>
      <c r="BG22" s="756"/>
      <c r="BH22" s="756"/>
      <c r="BI22" s="658"/>
      <c r="BJ22" s="756"/>
      <c r="BK22" s="756"/>
      <c r="BL22" s="682"/>
      <c r="BM22" s="682"/>
      <c r="BN22" s="682"/>
      <c r="BO22" s="756"/>
      <c r="BP22" s="840"/>
      <c r="BQ22" s="841"/>
      <c r="BR22" s="844"/>
      <c r="BS22" s="841"/>
      <c r="BT22" s="842"/>
      <c r="BU22" s="807"/>
      <c r="BV22" s="807"/>
      <c r="BW22" s="807"/>
      <c r="BX22" s="847">
        <f t="shared" si="24"/>
        <v>0</v>
      </c>
      <c r="BY22" s="847">
        <f t="shared" si="25"/>
        <v>0</v>
      </c>
      <c r="BZ22" s="847">
        <f t="shared" si="26"/>
        <v>0</v>
      </c>
      <c r="CA22" s="847">
        <f t="shared" si="27"/>
        <v>0</v>
      </c>
      <c r="CB22" s="16">
        <f t="shared" si="28"/>
        <v>0</v>
      </c>
      <c r="CC22" s="16">
        <f t="shared" si="29"/>
        <v>0</v>
      </c>
      <c r="CD22" s="16"/>
      <c r="CE22" s="16"/>
      <c r="CF22" s="16" t="e">
        <f>SUM(#REF!/(CC22+CB22))</f>
        <v>#REF!</v>
      </c>
      <c r="CG22" s="417"/>
      <c r="CH22" s="417"/>
      <c r="CI22" s="417"/>
      <c r="CJ22" s="417"/>
      <c r="CV22" s="419">
        <f t="shared" si="8"/>
        <v>0</v>
      </c>
    </row>
    <row r="23" spans="1:100" s="3" customFormat="1" ht="242.25" x14ac:dyDescent="0.25">
      <c r="A23" s="455" t="s">
        <v>79</v>
      </c>
      <c r="B23" s="455" t="s">
        <v>80</v>
      </c>
      <c r="C23" s="455" t="s">
        <v>81</v>
      </c>
      <c r="D23" s="455" t="s">
        <v>82</v>
      </c>
      <c r="E23" s="455" t="s">
        <v>83</v>
      </c>
      <c r="F23" s="455" t="s">
        <v>84</v>
      </c>
      <c r="G23" s="455" t="s">
        <v>85</v>
      </c>
      <c r="H23" s="455" t="s">
        <v>86</v>
      </c>
      <c r="I23" s="455" t="s">
        <v>87</v>
      </c>
      <c r="J23" s="455" t="s">
        <v>88</v>
      </c>
      <c r="K23" s="456" t="s">
        <v>208</v>
      </c>
      <c r="L23" s="456" t="s">
        <v>89</v>
      </c>
      <c r="M23" s="456" t="s">
        <v>228</v>
      </c>
      <c r="N23" s="457" t="s">
        <v>210</v>
      </c>
      <c r="O23" s="457" t="s">
        <v>211</v>
      </c>
      <c r="P23" s="914"/>
      <c r="Q23" s="456" t="s">
        <v>94</v>
      </c>
      <c r="R23" s="456" t="s">
        <v>95</v>
      </c>
      <c r="S23" s="458">
        <v>1</v>
      </c>
      <c r="T23" s="459" t="s">
        <v>229</v>
      </c>
      <c r="U23" s="459" t="s">
        <v>215</v>
      </c>
      <c r="V23" s="456" t="s">
        <v>98</v>
      </c>
      <c r="W23" s="498" t="s">
        <v>226</v>
      </c>
      <c r="X23" s="460"/>
      <c r="Y23" s="460"/>
      <c r="Z23" s="460"/>
      <c r="AA23" s="518"/>
      <c r="AB23" s="514"/>
      <c r="AC23" s="21"/>
      <c r="AD23" s="21"/>
      <c r="AE23" s="21"/>
      <c r="AF23" s="692">
        <f t="shared" si="3"/>
        <v>0</v>
      </c>
      <c r="AG23" s="693" t="s">
        <v>146</v>
      </c>
      <c r="AH23" s="698"/>
      <c r="AI23" s="695"/>
      <c r="AJ23" s="696"/>
      <c r="AK23" s="693"/>
      <c r="AL23" s="692"/>
      <c r="AM23" s="696"/>
      <c r="AN23" s="693"/>
      <c r="AO23" s="693"/>
      <c r="AP23" s="693"/>
      <c r="AQ23" s="696"/>
      <c r="AR23" s="414"/>
      <c r="AS23" s="402"/>
      <c r="AT23" s="736"/>
      <c r="AU23" s="737"/>
      <c r="AV23" s="736"/>
      <c r="AW23" s="729"/>
      <c r="AX23" s="397"/>
      <c r="AY23" s="400"/>
      <c r="AZ23" s="398"/>
      <c r="BA23" s="398"/>
      <c r="BB23" s="398"/>
      <c r="BC23" s="18"/>
      <c r="BD23" s="14"/>
      <c r="BE23" s="650" t="s">
        <v>227</v>
      </c>
      <c r="BF23" s="681"/>
      <c r="BG23" s="754"/>
      <c r="BH23" s="754"/>
      <c r="BI23" s="658"/>
      <c r="BJ23" s="754"/>
      <c r="BK23" s="754"/>
      <c r="BL23" s="682"/>
      <c r="BM23" s="682"/>
      <c r="BN23" s="682"/>
      <c r="BO23" s="754"/>
      <c r="BP23" s="839"/>
      <c r="BQ23" s="809"/>
      <c r="BR23" s="812"/>
      <c r="BS23" s="809"/>
      <c r="BT23" s="808"/>
      <c r="BU23" s="806"/>
      <c r="BV23" s="806"/>
      <c r="BW23" s="806"/>
      <c r="BX23" s="847">
        <f t="shared" si="24"/>
        <v>0</v>
      </c>
      <c r="BY23" s="847">
        <f t="shared" si="25"/>
        <v>0</v>
      </c>
      <c r="BZ23" s="847">
        <f t="shared" si="26"/>
        <v>0</v>
      </c>
      <c r="CA23" s="847">
        <f t="shared" si="27"/>
        <v>0</v>
      </c>
      <c r="CB23" s="16">
        <f t="shared" si="28"/>
        <v>0</v>
      </c>
      <c r="CC23" s="16">
        <f t="shared" si="29"/>
        <v>0</v>
      </c>
      <c r="CD23" s="16"/>
      <c r="CE23" s="16"/>
      <c r="CF23" s="16" t="e">
        <f>SUM(#REF!/(CC23+CB23))</f>
        <v>#REF!</v>
      </c>
      <c r="CG23" s="19"/>
      <c r="CH23" s="19"/>
      <c r="CI23" s="19"/>
      <c r="CJ23" s="19"/>
      <c r="CV23" s="346">
        <f t="shared" si="8"/>
        <v>0</v>
      </c>
    </row>
    <row r="24" spans="1:100" s="3" customFormat="1" ht="242.25" x14ac:dyDescent="0.25">
      <c r="A24" s="350" t="s">
        <v>79</v>
      </c>
      <c r="B24" s="350" t="s">
        <v>80</v>
      </c>
      <c r="C24" s="350" t="s">
        <v>81</v>
      </c>
      <c r="D24" s="350" t="s">
        <v>82</v>
      </c>
      <c r="E24" s="350" t="s">
        <v>83</v>
      </c>
      <c r="F24" s="350" t="s">
        <v>84</v>
      </c>
      <c r="G24" s="350" t="s">
        <v>85</v>
      </c>
      <c r="H24" s="350" t="s">
        <v>86</v>
      </c>
      <c r="I24" s="350" t="s">
        <v>87</v>
      </c>
      <c r="J24" s="350" t="s">
        <v>88</v>
      </c>
      <c r="K24" s="364" t="s">
        <v>208</v>
      </c>
      <c r="L24" s="364" t="s">
        <v>89</v>
      </c>
      <c r="M24" s="456" t="s">
        <v>230</v>
      </c>
      <c r="N24" s="361" t="s">
        <v>210</v>
      </c>
      <c r="O24" s="361" t="s">
        <v>211</v>
      </c>
      <c r="P24" s="662">
        <v>74153895.333333328</v>
      </c>
      <c r="Q24" s="364" t="s">
        <v>94</v>
      </c>
      <c r="R24" s="364" t="s">
        <v>213</v>
      </c>
      <c r="S24" s="365">
        <v>1</v>
      </c>
      <c r="T24" s="366" t="s">
        <v>231</v>
      </c>
      <c r="U24" s="366" t="s">
        <v>232</v>
      </c>
      <c r="V24" s="364" t="s">
        <v>119</v>
      </c>
      <c r="W24" s="366" t="s">
        <v>233</v>
      </c>
      <c r="X24" s="436">
        <v>0</v>
      </c>
      <c r="Y24" s="436">
        <v>1</v>
      </c>
      <c r="Z24" s="436">
        <v>0</v>
      </c>
      <c r="AA24" s="515">
        <v>0</v>
      </c>
      <c r="AB24" s="525">
        <v>6.25</v>
      </c>
      <c r="AC24" s="413">
        <v>1.2987012987012987</v>
      </c>
      <c r="AD24" s="413">
        <v>0.30208312500000001</v>
      </c>
      <c r="AE24" s="413">
        <v>0.37727272727272726</v>
      </c>
      <c r="AF24" s="692">
        <f t="shared" si="3"/>
        <v>0</v>
      </c>
      <c r="AG24" s="693" t="s">
        <v>146</v>
      </c>
      <c r="AH24" s="698">
        <v>0</v>
      </c>
      <c r="AI24" s="695"/>
      <c r="AJ24" s="696"/>
      <c r="AK24" s="693"/>
      <c r="AL24" s="692">
        <f>AF24*AH24</f>
        <v>0</v>
      </c>
      <c r="AM24" s="695" t="s">
        <v>121</v>
      </c>
      <c r="AN24" s="693">
        <f>AL24*AB24</f>
        <v>0</v>
      </c>
      <c r="AO24" s="693">
        <f>AL24*AC24</f>
        <v>0</v>
      </c>
      <c r="AP24" s="693">
        <f>AL24*AD24</f>
        <v>0</v>
      </c>
      <c r="AQ24" s="696"/>
      <c r="AR24" s="414">
        <f>Y24</f>
        <v>1</v>
      </c>
      <c r="AS24" s="402" t="s">
        <v>100</v>
      </c>
      <c r="AT24" s="738">
        <v>0</v>
      </c>
      <c r="AU24" s="737" t="s">
        <v>234</v>
      </c>
      <c r="AV24" s="736"/>
      <c r="AW24" s="729" t="str">
        <f>+IF(AND(AT24&gt;=0%,AT24&lt;=60%),"BAJO",IF(AND(AT24&gt;=61%,AT24&lt;=80%),"MEDIO","ALTO"))</f>
        <v>BAJO</v>
      </c>
      <c r="AX24" s="397">
        <f>AR24*AT24</f>
        <v>0</v>
      </c>
      <c r="AY24" s="400" t="s">
        <v>235</v>
      </c>
      <c r="AZ24" s="398">
        <f>AX24*AB24</f>
        <v>0</v>
      </c>
      <c r="BA24" s="398">
        <f>AX24*AC24</f>
        <v>0</v>
      </c>
      <c r="BB24" s="398">
        <f>AX24*AD24</f>
        <v>0</v>
      </c>
      <c r="BC24" s="18"/>
      <c r="BD24" s="14">
        <f>Z24</f>
        <v>0</v>
      </c>
      <c r="BE24" s="677" t="s">
        <v>220</v>
      </c>
      <c r="BF24" s="682">
        <v>0</v>
      </c>
      <c r="BG24" s="680" t="s">
        <v>236</v>
      </c>
      <c r="BH24" s="754"/>
      <c r="BI24" s="658" t="str">
        <f t="shared" si="31"/>
        <v>BAJO</v>
      </c>
      <c r="BJ24" s="681">
        <f>BD24*BF24</f>
        <v>0</v>
      </c>
      <c r="BK24" s="680" t="s">
        <v>237</v>
      </c>
      <c r="BL24" s="682">
        <f t="shared" si="19"/>
        <v>0</v>
      </c>
      <c r="BM24" s="682">
        <f t="shared" si="20"/>
        <v>0</v>
      </c>
      <c r="BN24" s="682">
        <f t="shared" si="21"/>
        <v>0</v>
      </c>
      <c r="BO24" s="754"/>
      <c r="BP24" s="860">
        <v>0</v>
      </c>
      <c r="BQ24" s="854" t="s">
        <v>105</v>
      </c>
      <c r="BR24" s="861">
        <f>100/100</f>
        <v>1</v>
      </c>
      <c r="BS24" s="856" t="s">
        <v>238</v>
      </c>
      <c r="BT24" s="857"/>
      <c r="BU24" s="905" t="str">
        <f t="shared" ref="BU24:BU25" si="32">+IF(AND(BR24&gt;=0%,BR24&lt;=60%),"BAJO",IF(AND(BR24&gt;=61%,BR24&lt;=80%),"MEDIO","ALTO"))</f>
        <v>ALTO</v>
      </c>
      <c r="BV24" s="875">
        <f t="shared" ref="BV24:BV25" si="33">BP24*BR24</f>
        <v>0</v>
      </c>
      <c r="BW24" s="859" t="s">
        <v>239</v>
      </c>
      <c r="BX24" s="857">
        <f t="shared" si="24"/>
        <v>0</v>
      </c>
      <c r="BY24" s="857">
        <f t="shared" si="25"/>
        <v>0</v>
      </c>
      <c r="BZ24" s="857">
        <f t="shared" si="26"/>
        <v>0</v>
      </c>
      <c r="CA24" s="857">
        <f t="shared" si="27"/>
        <v>0</v>
      </c>
      <c r="CB24" s="16">
        <f t="shared" si="28"/>
        <v>0</v>
      </c>
      <c r="CC24" s="16">
        <f t="shared" si="29"/>
        <v>1</v>
      </c>
      <c r="CD24" s="16">
        <f>SUM(X24+Y24+Z24+AA24)</f>
        <v>1</v>
      </c>
      <c r="CE24" s="16">
        <f t="shared" ref="CE24:CE25" si="34">SUM(AL24+AX24+BJ24+BV24)</f>
        <v>0</v>
      </c>
      <c r="CF24" s="16" t="e">
        <f>SUM(#REF!/(CC24+CB24))</f>
        <v>#REF!</v>
      </c>
      <c r="CG24" s="19"/>
      <c r="CH24" s="19"/>
      <c r="CI24" s="19"/>
      <c r="CJ24" s="19"/>
      <c r="CV24" s="346"/>
    </row>
    <row r="25" spans="1:100" s="3" customFormat="1" ht="242.25" x14ac:dyDescent="0.25">
      <c r="A25" s="350" t="s">
        <v>79</v>
      </c>
      <c r="B25" s="350" t="s">
        <v>80</v>
      </c>
      <c r="C25" s="350" t="s">
        <v>81</v>
      </c>
      <c r="D25" s="350" t="s">
        <v>82</v>
      </c>
      <c r="E25" s="350" t="s">
        <v>83</v>
      </c>
      <c r="F25" s="350" t="s">
        <v>84</v>
      </c>
      <c r="G25" s="350" t="s">
        <v>85</v>
      </c>
      <c r="H25" s="350" t="s">
        <v>86</v>
      </c>
      <c r="I25" s="350" t="s">
        <v>87</v>
      </c>
      <c r="J25" s="350" t="s">
        <v>88</v>
      </c>
      <c r="K25" s="364" t="s">
        <v>208</v>
      </c>
      <c r="L25" s="364" t="s">
        <v>89</v>
      </c>
      <c r="M25" s="456" t="s">
        <v>240</v>
      </c>
      <c r="N25" s="361" t="s">
        <v>210</v>
      </c>
      <c r="O25" s="361" t="s">
        <v>211</v>
      </c>
      <c r="P25" s="662">
        <v>74153895.333333328</v>
      </c>
      <c r="Q25" s="364" t="s">
        <v>94</v>
      </c>
      <c r="R25" s="364" t="s">
        <v>213</v>
      </c>
      <c r="S25" s="365">
        <v>13</v>
      </c>
      <c r="T25" s="366" t="s">
        <v>241</v>
      </c>
      <c r="U25" s="366" t="s">
        <v>242</v>
      </c>
      <c r="V25" s="364" t="s">
        <v>119</v>
      </c>
      <c r="W25" s="366" t="s">
        <v>243</v>
      </c>
      <c r="X25" s="436">
        <v>0</v>
      </c>
      <c r="Y25" s="436">
        <v>0.1</v>
      </c>
      <c r="Z25" s="436">
        <v>0.45</v>
      </c>
      <c r="AA25" s="515">
        <v>0.45</v>
      </c>
      <c r="AB25" s="525">
        <v>6.25</v>
      </c>
      <c r="AC25" s="413">
        <v>1.2987012987012987</v>
      </c>
      <c r="AD25" s="413">
        <v>0.30208312500000001</v>
      </c>
      <c r="AE25" s="413">
        <v>0.37727272727272726</v>
      </c>
      <c r="AF25" s="692">
        <f t="shared" si="3"/>
        <v>0</v>
      </c>
      <c r="AG25" s="693" t="s">
        <v>146</v>
      </c>
      <c r="AH25" s="698">
        <v>0</v>
      </c>
      <c r="AI25" s="695"/>
      <c r="AJ25" s="696"/>
      <c r="AK25" s="693"/>
      <c r="AL25" s="692">
        <f>AF25*AH25</f>
        <v>0</v>
      </c>
      <c r="AM25" s="695" t="s">
        <v>121</v>
      </c>
      <c r="AN25" s="693">
        <f>AL25*AB25</f>
        <v>0</v>
      </c>
      <c r="AO25" s="693">
        <f>AL25*AC25</f>
        <v>0</v>
      </c>
      <c r="AP25" s="693">
        <f>AL25*AD25</f>
        <v>0</v>
      </c>
      <c r="AQ25" s="696"/>
      <c r="AR25" s="414">
        <f>Y25</f>
        <v>0.1</v>
      </c>
      <c r="AS25" s="402" t="s">
        <v>100</v>
      </c>
      <c r="AT25" s="739">
        <f>2/2</f>
        <v>1</v>
      </c>
      <c r="AU25" s="737" t="s">
        <v>244</v>
      </c>
      <c r="AV25" s="737" t="s">
        <v>245</v>
      </c>
      <c r="AW25" s="729" t="str">
        <f>+IF(AND(AT25&gt;=0%,AT25&lt;=60%),"BAJO",IF(AND(AT25&gt;=61%,AT25&lt;=80%),"MEDIO","ALTO"))</f>
        <v>ALTO</v>
      </c>
      <c r="AX25" s="397">
        <f>AR25*AT25</f>
        <v>0.1</v>
      </c>
      <c r="AY25" s="400" t="s">
        <v>246</v>
      </c>
      <c r="AZ25" s="398">
        <f>AX25*AB25</f>
        <v>0.625</v>
      </c>
      <c r="BA25" s="398">
        <f>AX25*AC25</f>
        <v>0.12987012987012989</v>
      </c>
      <c r="BB25" s="398">
        <f>AX25*AD25</f>
        <v>3.0208312500000001E-2</v>
      </c>
      <c r="BC25" s="18"/>
      <c r="BD25" s="14">
        <f>Z25</f>
        <v>0.45</v>
      </c>
      <c r="BE25" s="677" t="s">
        <v>220</v>
      </c>
      <c r="BF25" s="682">
        <f>2/5</f>
        <v>0.4</v>
      </c>
      <c r="BG25" s="680" t="s">
        <v>247</v>
      </c>
      <c r="BH25" s="680" t="s">
        <v>245</v>
      </c>
      <c r="BI25" s="658" t="str">
        <f t="shared" si="31"/>
        <v>BAJO</v>
      </c>
      <c r="BJ25" s="681">
        <f>BD25*BF25</f>
        <v>0.18000000000000002</v>
      </c>
      <c r="BK25" s="680" t="s">
        <v>248</v>
      </c>
      <c r="BL25" s="682">
        <f t="shared" si="19"/>
        <v>2.8800000000000003E-2</v>
      </c>
      <c r="BM25" s="682">
        <f t="shared" si="20"/>
        <v>0.13860000000000003</v>
      </c>
      <c r="BN25" s="682">
        <f t="shared" si="21"/>
        <v>0.59586247990515862</v>
      </c>
      <c r="BO25" s="754"/>
      <c r="BP25" s="860">
        <v>0.45</v>
      </c>
      <c r="BQ25" s="854" t="s">
        <v>105</v>
      </c>
      <c r="BR25" s="861">
        <v>0</v>
      </c>
      <c r="BS25" s="856"/>
      <c r="BT25" s="857"/>
      <c r="BU25" s="907" t="str">
        <f t="shared" si="32"/>
        <v>BAJO</v>
      </c>
      <c r="BV25" s="875">
        <f t="shared" si="33"/>
        <v>0</v>
      </c>
      <c r="BW25" s="859" t="s">
        <v>249</v>
      </c>
      <c r="BX25" s="857">
        <f t="shared" si="24"/>
        <v>0</v>
      </c>
      <c r="BY25" s="857">
        <f t="shared" si="25"/>
        <v>0</v>
      </c>
      <c r="BZ25" s="857">
        <f t="shared" si="26"/>
        <v>0</v>
      </c>
      <c r="CA25" s="857">
        <f t="shared" si="27"/>
        <v>0</v>
      </c>
      <c r="CB25" s="16">
        <f t="shared" si="28"/>
        <v>0.9</v>
      </c>
      <c r="CC25" s="16">
        <f t="shared" si="29"/>
        <v>0.1</v>
      </c>
      <c r="CD25" s="16">
        <f>SUM(X25+Y25+Z25+AA25)</f>
        <v>1</v>
      </c>
      <c r="CE25" s="16">
        <f t="shared" si="34"/>
        <v>0.28000000000000003</v>
      </c>
      <c r="CF25" s="16" t="e">
        <f>SUM(#REF!/(CC25+CB25))</f>
        <v>#REF!</v>
      </c>
      <c r="CG25" s="19"/>
      <c r="CH25" s="19"/>
      <c r="CI25" s="19"/>
      <c r="CJ25" s="19"/>
      <c r="CV25" s="346">
        <f t="shared" ref="CV25:CV56" si="35">SUM(X25:AA25)</f>
        <v>1</v>
      </c>
    </row>
    <row r="26" spans="1:100" s="3" customFormat="1" ht="242.25" x14ac:dyDescent="0.25">
      <c r="A26" s="455" t="s">
        <v>79</v>
      </c>
      <c r="B26" s="455" t="s">
        <v>80</v>
      </c>
      <c r="C26" s="455" t="s">
        <v>81</v>
      </c>
      <c r="D26" s="455" t="s">
        <v>82</v>
      </c>
      <c r="E26" s="455" t="s">
        <v>83</v>
      </c>
      <c r="F26" s="455" t="s">
        <v>84</v>
      </c>
      <c r="G26" s="455" t="s">
        <v>85</v>
      </c>
      <c r="H26" s="455" t="s">
        <v>86</v>
      </c>
      <c r="I26" s="455" t="s">
        <v>87</v>
      </c>
      <c r="J26" s="455" t="s">
        <v>88</v>
      </c>
      <c r="K26" s="456" t="s">
        <v>208</v>
      </c>
      <c r="L26" s="456" t="s">
        <v>89</v>
      </c>
      <c r="M26" s="456" t="s">
        <v>250</v>
      </c>
      <c r="N26" s="457" t="s">
        <v>210</v>
      </c>
      <c r="O26" s="457" t="s">
        <v>211</v>
      </c>
      <c r="P26" s="914"/>
      <c r="Q26" s="456" t="s">
        <v>94</v>
      </c>
      <c r="R26" s="456" t="s">
        <v>95</v>
      </c>
      <c r="S26" s="461">
        <v>1</v>
      </c>
      <c r="T26" s="459" t="s">
        <v>251</v>
      </c>
      <c r="U26" s="459" t="s">
        <v>252</v>
      </c>
      <c r="V26" s="456" t="s">
        <v>253</v>
      </c>
      <c r="W26" s="498" t="s">
        <v>254</v>
      </c>
      <c r="X26" s="460"/>
      <c r="Y26" s="460"/>
      <c r="Z26" s="460"/>
      <c r="AA26" s="518"/>
      <c r="AB26" s="514"/>
      <c r="AC26" s="21"/>
      <c r="AD26" s="21"/>
      <c r="AE26" s="21"/>
      <c r="AF26" s="692">
        <f t="shared" si="3"/>
        <v>0</v>
      </c>
      <c r="AG26" s="693" t="s">
        <v>146</v>
      </c>
      <c r="AH26" s="698"/>
      <c r="AI26" s="695"/>
      <c r="AJ26" s="696"/>
      <c r="AK26" s="693"/>
      <c r="AL26" s="692"/>
      <c r="AM26" s="696"/>
      <c r="AN26" s="693"/>
      <c r="AO26" s="693"/>
      <c r="AP26" s="693"/>
      <c r="AQ26" s="696"/>
      <c r="AR26" s="414"/>
      <c r="AS26" s="402"/>
      <c r="AT26" s="736"/>
      <c r="AU26" s="737"/>
      <c r="AV26" s="736"/>
      <c r="AW26" s="729"/>
      <c r="AX26" s="397"/>
      <c r="AY26" s="400"/>
      <c r="AZ26" s="398"/>
      <c r="BA26" s="398"/>
      <c r="BB26" s="398"/>
      <c r="BC26" s="18"/>
      <c r="BD26" s="14"/>
      <c r="BE26" s="650" t="s">
        <v>227</v>
      </c>
      <c r="BF26" s="681"/>
      <c r="BG26" s="754"/>
      <c r="BH26" s="754"/>
      <c r="BI26" s="658"/>
      <c r="BJ26" s="754"/>
      <c r="BK26" s="754"/>
      <c r="BL26" s="682"/>
      <c r="BM26" s="682"/>
      <c r="BN26" s="682"/>
      <c r="BO26" s="754"/>
      <c r="BP26" s="839"/>
      <c r="BQ26" s="809"/>
      <c r="BR26" s="812"/>
      <c r="BS26" s="809"/>
      <c r="BT26" s="808"/>
      <c r="BU26" s="806"/>
      <c r="BV26" s="806"/>
      <c r="BW26" s="806"/>
      <c r="BX26" s="847">
        <f t="shared" si="24"/>
        <v>0</v>
      </c>
      <c r="BY26" s="847">
        <f t="shared" si="25"/>
        <v>0</v>
      </c>
      <c r="BZ26" s="847">
        <f t="shared" si="26"/>
        <v>0</v>
      </c>
      <c r="CA26" s="847">
        <f t="shared" si="27"/>
        <v>0</v>
      </c>
      <c r="CB26" s="16">
        <f t="shared" si="28"/>
        <v>0</v>
      </c>
      <c r="CC26" s="16">
        <f t="shared" si="29"/>
        <v>0</v>
      </c>
      <c r="CD26" s="16"/>
      <c r="CE26" s="16"/>
      <c r="CF26" s="16" t="e">
        <f>SUM(#REF!/(CC26+CB26))</f>
        <v>#REF!</v>
      </c>
      <c r="CG26" s="19"/>
      <c r="CH26" s="19"/>
      <c r="CI26" s="19"/>
      <c r="CJ26" s="19"/>
      <c r="CV26" s="346">
        <f t="shared" si="35"/>
        <v>0</v>
      </c>
    </row>
    <row r="27" spans="1:100" s="3" customFormat="1" ht="242.25" x14ac:dyDescent="0.25">
      <c r="A27" s="455" t="s">
        <v>79</v>
      </c>
      <c r="B27" s="455" t="s">
        <v>80</v>
      </c>
      <c r="C27" s="455" t="s">
        <v>81</v>
      </c>
      <c r="D27" s="455" t="s">
        <v>82</v>
      </c>
      <c r="E27" s="455" t="s">
        <v>83</v>
      </c>
      <c r="F27" s="455" t="s">
        <v>84</v>
      </c>
      <c r="G27" s="455" t="s">
        <v>85</v>
      </c>
      <c r="H27" s="455" t="s">
        <v>86</v>
      </c>
      <c r="I27" s="455" t="s">
        <v>87</v>
      </c>
      <c r="J27" s="455" t="s">
        <v>88</v>
      </c>
      <c r="K27" s="456" t="s">
        <v>208</v>
      </c>
      <c r="L27" s="456" t="s">
        <v>89</v>
      </c>
      <c r="M27" s="456" t="s">
        <v>255</v>
      </c>
      <c r="N27" s="457" t="s">
        <v>210</v>
      </c>
      <c r="O27" s="457" t="s">
        <v>211</v>
      </c>
      <c r="P27" s="914"/>
      <c r="Q27" s="456" t="s">
        <v>94</v>
      </c>
      <c r="R27" s="456" t="s">
        <v>95</v>
      </c>
      <c r="S27" s="462">
        <v>9</v>
      </c>
      <c r="T27" s="459" t="s">
        <v>256</v>
      </c>
      <c r="U27" s="459" t="s">
        <v>257</v>
      </c>
      <c r="V27" s="456" t="s">
        <v>253</v>
      </c>
      <c r="W27" s="498" t="s">
        <v>258</v>
      </c>
      <c r="X27" s="460"/>
      <c r="Y27" s="460"/>
      <c r="Z27" s="460"/>
      <c r="AA27" s="518"/>
      <c r="AB27" s="514"/>
      <c r="AC27" s="21"/>
      <c r="AD27" s="21"/>
      <c r="AE27" s="21"/>
      <c r="AF27" s="692">
        <f t="shared" si="3"/>
        <v>0</v>
      </c>
      <c r="AG27" s="693" t="s">
        <v>146</v>
      </c>
      <c r="AH27" s="698"/>
      <c r="AI27" s="695"/>
      <c r="AJ27" s="696"/>
      <c r="AK27" s="693"/>
      <c r="AL27" s="692"/>
      <c r="AM27" s="695"/>
      <c r="AN27" s="693"/>
      <c r="AO27" s="693"/>
      <c r="AP27" s="693"/>
      <c r="AQ27" s="696"/>
      <c r="AR27" s="414"/>
      <c r="AS27" s="402"/>
      <c r="AT27" s="736"/>
      <c r="AU27" s="737"/>
      <c r="AV27" s="736"/>
      <c r="AW27" s="729"/>
      <c r="AX27" s="397"/>
      <c r="AY27" s="400"/>
      <c r="AZ27" s="398"/>
      <c r="BA27" s="398"/>
      <c r="BB27" s="398"/>
      <c r="BC27" s="18"/>
      <c r="BD27" s="14"/>
      <c r="BE27" s="650" t="s">
        <v>227</v>
      </c>
      <c r="BF27" s="681"/>
      <c r="BG27" s="754"/>
      <c r="BH27" s="754"/>
      <c r="BI27" s="658"/>
      <c r="BJ27" s="754"/>
      <c r="BK27" s="754"/>
      <c r="BL27" s="682"/>
      <c r="BM27" s="682"/>
      <c r="BN27" s="682"/>
      <c r="BO27" s="754"/>
      <c r="BP27" s="839"/>
      <c r="BQ27" s="809"/>
      <c r="BR27" s="812"/>
      <c r="BS27" s="810" t="s">
        <v>259</v>
      </c>
      <c r="BT27" s="808"/>
      <c r="BU27" s="806"/>
      <c r="BV27" s="806"/>
      <c r="BW27" s="806"/>
      <c r="BX27" s="847">
        <f t="shared" si="24"/>
        <v>0</v>
      </c>
      <c r="BY27" s="847">
        <f t="shared" si="25"/>
        <v>0</v>
      </c>
      <c r="BZ27" s="847">
        <f t="shared" si="26"/>
        <v>0</v>
      </c>
      <c r="CA27" s="847">
        <f t="shared" si="27"/>
        <v>0</v>
      </c>
      <c r="CB27" s="16">
        <f t="shared" si="28"/>
        <v>0</v>
      </c>
      <c r="CC27" s="16">
        <f t="shared" si="29"/>
        <v>0</v>
      </c>
      <c r="CD27" s="16"/>
      <c r="CE27" s="16"/>
      <c r="CF27" s="16" t="e">
        <f>SUM(#REF!/(CC27+CB27))</f>
        <v>#REF!</v>
      </c>
      <c r="CG27" s="19"/>
      <c r="CH27" s="19"/>
      <c r="CI27" s="19"/>
      <c r="CJ27" s="19"/>
      <c r="CV27" s="346">
        <f t="shared" si="35"/>
        <v>0</v>
      </c>
    </row>
    <row r="28" spans="1:100" s="3" customFormat="1" ht="242.25" x14ac:dyDescent="0.25">
      <c r="A28" s="350" t="s">
        <v>79</v>
      </c>
      <c r="B28" s="350" t="s">
        <v>80</v>
      </c>
      <c r="C28" s="350" t="s">
        <v>81</v>
      </c>
      <c r="D28" s="350" t="s">
        <v>82</v>
      </c>
      <c r="E28" s="350" t="s">
        <v>83</v>
      </c>
      <c r="F28" s="350" t="s">
        <v>84</v>
      </c>
      <c r="G28" s="350" t="s">
        <v>85</v>
      </c>
      <c r="H28" s="350" t="s">
        <v>86</v>
      </c>
      <c r="I28" s="350" t="s">
        <v>87</v>
      </c>
      <c r="J28" s="350" t="s">
        <v>88</v>
      </c>
      <c r="K28" s="364" t="s">
        <v>208</v>
      </c>
      <c r="L28" s="364" t="s">
        <v>89</v>
      </c>
      <c r="M28" s="456" t="s">
        <v>260</v>
      </c>
      <c r="N28" s="361" t="s">
        <v>210</v>
      </c>
      <c r="O28" s="361" t="s">
        <v>211</v>
      </c>
      <c r="P28" s="662">
        <v>74153895.333333328</v>
      </c>
      <c r="Q28" s="364" t="s">
        <v>94</v>
      </c>
      <c r="R28" s="364" t="s">
        <v>213</v>
      </c>
      <c r="S28" s="365">
        <v>6</v>
      </c>
      <c r="T28" s="350" t="s">
        <v>261</v>
      </c>
      <c r="U28" s="350" t="s">
        <v>262</v>
      </c>
      <c r="V28" s="364" t="s">
        <v>253</v>
      </c>
      <c r="W28" s="366" t="s">
        <v>263</v>
      </c>
      <c r="X28" s="436">
        <v>0</v>
      </c>
      <c r="Y28" s="436">
        <f>2/8</f>
        <v>0.25</v>
      </c>
      <c r="Z28" s="436">
        <f>3/8</f>
        <v>0.375</v>
      </c>
      <c r="AA28" s="515">
        <f>3/8</f>
        <v>0.375</v>
      </c>
      <c r="AB28" s="525">
        <v>6.25</v>
      </c>
      <c r="AC28" s="413">
        <v>1.2987012987012987</v>
      </c>
      <c r="AD28" s="413">
        <v>0.30208312500000001</v>
      </c>
      <c r="AE28" s="413">
        <v>0.37727272727272726</v>
      </c>
      <c r="AF28" s="692">
        <f t="shared" si="3"/>
        <v>0</v>
      </c>
      <c r="AG28" s="693" t="s">
        <v>146</v>
      </c>
      <c r="AH28" s="698">
        <v>0</v>
      </c>
      <c r="AI28" s="695"/>
      <c r="AJ28" s="696"/>
      <c r="AK28" s="693"/>
      <c r="AL28" s="692">
        <f>AF28*AH28</f>
        <v>0</v>
      </c>
      <c r="AM28" s="695" t="s">
        <v>121</v>
      </c>
      <c r="AN28" s="693">
        <f>AL28*AB28</f>
        <v>0</v>
      </c>
      <c r="AO28" s="693">
        <f>AL28*AC28</f>
        <v>0</v>
      </c>
      <c r="AP28" s="693">
        <f>AL28*AD28</f>
        <v>0</v>
      </c>
      <c r="AQ28" s="696"/>
      <c r="AR28" s="414">
        <f>Y28</f>
        <v>0.25</v>
      </c>
      <c r="AS28" s="402" t="s">
        <v>100</v>
      </c>
      <c r="AT28" s="740">
        <v>1</v>
      </c>
      <c r="AU28" s="737" t="s">
        <v>264</v>
      </c>
      <c r="AV28" s="737" t="s">
        <v>265</v>
      </c>
      <c r="AW28" s="729" t="str">
        <f>+IF(AND(AT28&gt;=0%,AT28&lt;=60%),"BAJO",IF(AND(AT28&gt;=61%,AT28&lt;=80%),"MEDIO","ALTO"))</f>
        <v>ALTO</v>
      </c>
      <c r="AX28" s="397">
        <f>AR28*AT28</f>
        <v>0.25</v>
      </c>
      <c r="AY28" s="400" t="s">
        <v>266</v>
      </c>
      <c r="AZ28" s="398">
        <f>AX28*AB28</f>
        <v>1.5625</v>
      </c>
      <c r="BA28" s="398">
        <f>AX28*AC28</f>
        <v>0.32467532467532467</v>
      </c>
      <c r="BB28" s="398">
        <f>AX28*AD28</f>
        <v>7.5520781250000002E-2</v>
      </c>
      <c r="BC28" s="18"/>
      <c r="BD28" s="14">
        <f>Z28</f>
        <v>0.375</v>
      </c>
      <c r="BE28" s="677" t="s">
        <v>100</v>
      </c>
      <c r="BF28" s="682">
        <v>1</v>
      </c>
      <c r="BG28" s="680" t="s">
        <v>267</v>
      </c>
      <c r="BH28" s="754"/>
      <c r="BI28" s="658" t="str">
        <f t="shared" si="31"/>
        <v>ALTO</v>
      </c>
      <c r="BJ28" s="681">
        <f>BD28*BF28</f>
        <v>0.375</v>
      </c>
      <c r="BK28" s="680" t="s">
        <v>268</v>
      </c>
      <c r="BL28" s="682">
        <f t="shared" si="19"/>
        <v>0.06</v>
      </c>
      <c r="BM28" s="682">
        <f t="shared" si="20"/>
        <v>0.28875000000000001</v>
      </c>
      <c r="BN28" s="682">
        <f t="shared" si="21"/>
        <v>1.2413801664690802</v>
      </c>
      <c r="BO28" s="754"/>
      <c r="BP28" s="860">
        <v>0.38</v>
      </c>
      <c r="BQ28" s="854" t="s">
        <v>105</v>
      </c>
      <c r="BR28" s="861">
        <f>100/100</f>
        <v>1</v>
      </c>
      <c r="BS28" s="856" t="s">
        <v>269</v>
      </c>
      <c r="BT28" s="857"/>
      <c r="BU28" s="905" t="str">
        <f>+IF(AND(BR28&gt;=0%,BR28&lt;=60%),"BAJO",IF(AND(BR28&gt;=61%,BR28&lt;=80%),"MEDIO","ALTO"))</f>
        <v>ALTO</v>
      </c>
      <c r="BV28" s="875">
        <f>BP28*BR28</f>
        <v>0.38</v>
      </c>
      <c r="BW28" s="859" t="s">
        <v>270</v>
      </c>
      <c r="BX28" s="857">
        <f t="shared" si="24"/>
        <v>2.375</v>
      </c>
      <c r="BY28" s="857">
        <f t="shared" si="25"/>
        <v>0.4935064935064935</v>
      </c>
      <c r="BZ28" s="857">
        <f t="shared" si="26"/>
        <v>0.1147915875</v>
      </c>
      <c r="CA28" s="857">
        <f t="shared" si="27"/>
        <v>0.14336363636363636</v>
      </c>
      <c r="CB28" s="16">
        <f t="shared" si="28"/>
        <v>0.755</v>
      </c>
      <c r="CC28" s="16">
        <f t="shared" si="29"/>
        <v>0.25</v>
      </c>
      <c r="CD28" s="16">
        <f>SUM(X28+Y28+Z28+AA28)</f>
        <v>1</v>
      </c>
      <c r="CE28" s="16">
        <f>SUM(AL28+AX28+BJ28+BV28)</f>
        <v>1.0049999999999999</v>
      </c>
      <c r="CF28" s="16" t="e">
        <f>SUM(#REF!/(CC28+CB28))</f>
        <v>#REF!</v>
      </c>
      <c r="CG28" s="19"/>
      <c r="CH28" s="19"/>
      <c r="CI28" s="19"/>
      <c r="CJ28" s="19"/>
      <c r="CV28" s="346">
        <f t="shared" si="35"/>
        <v>1</v>
      </c>
    </row>
    <row r="29" spans="1:100" s="3" customFormat="1" ht="242.25" x14ac:dyDescent="0.25">
      <c r="A29" s="455" t="s">
        <v>79</v>
      </c>
      <c r="B29" s="455" t="s">
        <v>80</v>
      </c>
      <c r="C29" s="455" t="s">
        <v>81</v>
      </c>
      <c r="D29" s="455" t="s">
        <v>82</v>
      </c>
      <c r="E29" s="455" t="s">
        <v>83</v>
      </c>
      <c r="F29" s="455" t="s">
        <v>84</v>
      </c>
      <c r="G29" s="455" t="s">
        <v>85</v>
      </c>
      <c r="H29" s="455" t="s">
        <v>86</v>
      </c>
      <c r="I29" s="455" t="s">
        <v>87</v>
      </c>
      <c r="J29" s="455" t="s">
        <v>88</v>
      </c>
      <c r="K29" s="456" t="s">
        <v>208</v>
      </c>
      <c r="L29" s="456" t="s">
        <v>89</v>
      </c>
      <c r="M29" s="456" t="s">
        <v>271</v>
      </c>
      <c r="N29" s="457" t="s">
        <v>210</v>
      </c>
      <c r="O29" s="457" t="s">
        <v>211</v>
      </c>
      <c r="P29" s="914"/>
      <c r="Q29" s="456" t="s">
        <v>94</v>
      </c>
      <c r="R29" s="456" t="s">
        <v>95</v>
      </c>
      <c r="S29" s="461">
        <v>2</v>
      </c>
      <c r="T29" s="459" t="s">
        <v>272</v>
      </c>
      <c r="U29" s="459" t="s">
        <v>273</v>
      </c>
      <c r="V29" s="456" t="s">
        <v>119</v>
      </c>
      <c r="W29" s="498" t="s">
        <v>274</v>
      </c>
      <c r="X29" s="460"/>
      <c r="Y29" s="460"/>
      <c r="Z29" s="460"/>
      <c r="AA29" s="518"/>
      <c r="AB29" s="514"/>
      <c r="AC29" s="21"/>
      <c r="AD29" s="21"/>
      <c r="AE29" s="21"/>
      <c r="AF29" s="692">
        <f t="shared" si="3"/>
        <v>0</v>
      </c>
      <c r="AG29" s="693" t="s">
        <v>146</v>
      </c>
      <c r="AH29" s="698"/>
      <c r="AI29" s="695"/>
      <c r="AJ29" s="696"/>
      <c r="AK29" s="693"/>
      <c r="AL29" s="692"/>
      <c r="AM29" s="696"/>
      <c r="AN29" s="693"/>
      <c r="AO29" s="693"/>
      <c r="AP29" s="693"/>
      <c r="AQ29" s="696"/>
      <c r="AR29" s="414"/>
      <c r="AS29" s="402"/>
      <c r="AT29" s="736"/>
      <c r="AU29" s="737"/>
      <c r="AV29" s="736"/>
      <c r="AW29" s="729"/>
      <c r="AX29" s="397"/>
      <c r="AY29" s="400"/>
      <c r="AZ29" s="398"/>
      <c r="BA29" s="398"/>
      <c r="BB29" s="398"/>
      <c r="BC29" s="18"/>
      <c r="BD29" s="14"/>
      <c r="BE29" s="650" t="s">
        <v>227</v>
      </c>
      <c r="BF29" s="681"/>
      <c r="BG29" s="754"/>
      <c r="BH29" s="754"/>
      <c r="BI29" s="658"/>
      <c r="BJ29" s="754"/>
      <c r="BK29" s="754"/>
      <c r="BL29" s="682"/>
      <c r="BM29" s="682"/>
      <c r="BN29" s="682"/>
      <c r="BO29" s="754"/>
      <c r="BP29" s="839"/>
      <c r="BQ29" s="809"/>
      <c r="BR29" s="812"/>
      <c r="BS29" s="809"/>
      <c r="BT29" s="808"/>
      <c r="BU29" s="806"/>
      <c r="BV29" s="806"/>
      <c r="BW29" s="806"/>
      <c r="BX29" s="847">
        <f t="shared" si="24"/>
        <v>0</v>
      </c>
      <c r="BY29" s="847">
        <f t="shared" si="25"/>
        <v>0</v>
      </c>
      <c r="BZ29" s="847">
        <f t="shared" si="26"/>
        <v>0</v>
      </c>
      <c r="CA29" s="847">
        <f t="shared" si="27"/>
        <v>0</v>
      </c>
      <c r="CB29" s="16">
        <f t="shared" si="28"/>
        <v>0</v>
      </c>
      <c r="CC29" s="16">
        <f t="shared" si="29"/>
        <v>0</v>
      </c>
      <c r="CD29" s="16"/>
      <c r="CE29" s="16"/>
      <c r="CF29" s="16" t="e">
        <f>SUM(#REF!/(CC29+CB29))</f>
        <v>#REF!</v>
      </c>
      <c r="CG29" s="19"/>
      <c r="CH29" s="19"/>
      <c r="CI29" s="19"/>
      <c r="CJ29" s="19"/>
      <c r="CV29" s="346">
        <f t="shared" si="35"/>
        <v>0</v>
      </c>
    </row>
    <row r="30" spans="1:100" s="3" customFormat="1" ht="242.25" x14ac:dyDescent="0.25">
      <c r="A30" s="350" t="s">
        <v>79</v>
      </c>
      <c r="B30" s="350" t="s">
        <v>80</v>
      </c>
      <c r="C30" s="350" t="s">
        <v>81</v>
      </c>
      <c r="D30" s="350" t="s">
        <v>82</v>
      </c>
      <c r="E30" s="350" t="s">
        <v>83</v>
      </c>
      <c r="F30" s="350" t="s">
        <v>84</v>
      </c>
      <c r="G30" s="350" t="s">
        <v>85</v>
      </c>
      <c r="H30" s="350" t="s">
        <v>86</v>
      </c>
      <c r="I30" s="350" t="s">
        <v>87</v>
      </c>
      <c r="J30" s="350" t="s">
        <v>88</v>
      </c>
      <c r="K30" s="364" t="s">
        <v>208</v>
      </c>
      <c r="L30" s="364" t="s">
        <v>89</v>
      </c>
      <c r="M30" s="456" t="s">
        <v>275</v>
      </c>
      <c r="N30" s="361" t="s">
        <v>210</v>
      </c>
      <c r="O30" s="361" t="s">
        <v>211</v>
      </c>
      <c r="P30" s="662">
        <v>74153895.333333328</v>
      </c>
      <c r="Q30" s="364" t="s">
        <v>94</v>
      </c>
      <c r="R30" s="364" t="s">
        <v>213</v>
      </c>
      <c r="S30" s="365">
        <v>100</v>
      </c>
      <c r="T30" s="366" t="s">
        <v>276</v>
      </c>
      <c r="U30" s="366" t="s">
        <v>277</v>
      </c>
      <c r="V30" s="364" t="s">
        <v>98</v>
      </c>
      <c r="W30" s="366" t="s">
        <v>278</v>
      </c>
      <c r="X30" s="436">
        <v>0</v>
      </c>
      <c r="Y30" s="436">
        <v>0</v>
      </c>
      <c r="Z30" s="436">
        <v>0.5</v>
      </c>
      <c r="AA30" s="515">
        <v>0.5</v>
      </c>
      <c r="AB30" s="525">
        <v>6.25</v>
      </c>
      <c r="AC30" s="413">
        <v>1.2987012987012987</v>
      </c>
      <c r="AD30" s="413">
        <v>0.30208312500000001</v>
      </c>
      <c r="AE30" s="413">
        <v>0.37727272727272726</v>
      </c>
      <c r="AF30" s="692">
        <f t="shared" si="3"/>
        <v>0</v>
      </c>
      <c r="AG30" s="693" t="s">
        <v>146</v>
      </c>
      <c r="AH30" s="698">
        <v>0</v>
      </c>
      <c r="AI30" s="695"/>
      <c r="AJ30" s="696"/>
      <c r="AK30" s="693"/>
      <c r="AL30" s="692">
        <f>AF30*AH30</f>
        <v>0</v>
      </c>
      <c r="AM30" s="695" t="s">
        <v>121</v>
      </c>
      <c r="AN30" s="693">
        <f>AL30*AB30</f>
        <v>0</v>
      </c>
      <c r="AO30" s="693">
        <f>AL30*AC30</f>
        <v>0</v>
      </c>
      <c r="AP30" s="693">
        <f>AL30*AD30</f>
        <v>0</v>
      </c>
      <c r="AQ30" s="696"/>
      <c r="AR30" s="414">
        <f t="shared" ref="AR30:AR56" si="36">Y30</f>
        <v>0</v>
      </c>
      <c r="AS30" s="402" t="s">
        <v>146</v>
      </c>
      <c r="AT30" s="740">
        <v>0</v>
      </c>
      <c r="AU30" s="737" t="s">
        <v>279</v>
      </c>
      <c r="AV30" s="737" t="s">
        <v>280</v>
      </c>
      <c r="AW30" s="729"/>
      <c r="AX30" s="397">
        <f>AR30*AT30</f>
        <v>0</v>
      </c>
      <c r="AY30" s="400" t="s">
        <v>281</v>
      </c>
      <c r="AZ30" s="398">
        <f>AX30*AB30</f>
        <v>0</v>
      </c>
      <c r="BA30" s="398">
        <f>AX30*AC30</f>
        <v>0</v>
      </c>
      <c r="BB30" s="398">
        <f>AX30*AD30</f>
        <v>0</v>
      </c>
      <c r="BC30" s="18"/>
      <c r="BD30" s="14">
        <f>Z30</f>
        <v>0.5</v>
      </c>
      <c r="BE30" s="677" t="s">
        <v>100</v>
      </c>
      <c r="BF30" s="681">
        <v>0</v>
      </c>
      <c r="BG30" s="680" t="s">
        <v>282</v>
      </c>
      <c r="BH30" s="754"/>
      <c r="BI30" s="658" t="str">
        <f t="shared" si="31"/>
        <v>BAJO</v>
      </c>
      <c r="BJ30" s="681">
        <f>BD30*BF30</f>
        <v>0</v>
      </c>
      <c r="BK30" s="680" t="s">
        <v>283</v>
      </c>
      <c r="BL30" s="682">
        <f t="shared" si="19"/>
        <v>0</v>
      </c>
      <c r="BM30" s="682">
        <f t="shared" si="20"/>
        <v>0</v>
      </c>
      <c r="BN30" s="682">
        <f t="shared" si="21"/>
        <v>0</v>
      </c>
      <c r="BO30" s="754"/>
      <c r="BP30" s="860">
        <v>0.5</v>
      </c>
      <c r="BQ30" s="854" t="s">
        <v>105</v>
      </c>
      <c r="BR30" s="861">
        <f>100/100</f>
        <v>1</v>
      </c>
      <c r="BS30" s="854"/>
      <c r="BT30" s="857"/>
      <c r="BU30" s="905" t="str">
        <f>+IF(AND(BR30&gt;=0%,BR30&lt;=60%),"BAJO",IF(AND(BR30&gt;=61%,BR30&lt;=80%),"MEDIO","ALTO"))</f>
        <v>ALTO</v>
      </c>
      <c r="BV30" s="875">
        <f>BP30*BR30</f>
        <v>0.5</v>
      </c>
      <c r="BW30" s="859" t="s">
        <v>284</v>
      </c>
      <c r="BX30" s="857">
        <f t="shared" si="24"/>
        <v>3.125</v>
      </c>
      <c r="BY30" s="857">
        <f t="shared" si="25"/>
        <v>0.64935064935064934</v>
      </c>
      <c r="BZ30" s="857">
        <f t="shared" si="26"/>
        <v>0.1510415625</v>
      </c>
      <c r="CA30" s="857">
        <f t="shared" si="27"/>
        <v>0.18863636363636363</v>
      </c>
      <c r="CB30" s="16">
        <f t="shared" si="28"/>
        <v>1</v>
      </c>
      <c r="CC30" s="16">
        <f t="shared" si="29"/>
        <v>0</v>
      </c>
      <c r="CD30" s="16">
        <f>SUM(X30+Y30+Z30+AA30)</f>
        <v>1</v>
      </c>
      <c r="CE30" s="16">
        <f>SUM(AL30+AX30+BJ30+BV30)</f>
        <v>0.5</v>
      </c>
      <c r="CF30" s="16" t="e">
        <f>SUM(#REF!/(CC30+CB30))</f>
        <v>#REF!</v>
      </c>
      <c r="CG30" s="19"/>
      <c r="CH30" s="19"/>
      <c r="CI30" s="19"/>
      <c r="CJ30" s="19"/>
      <c r="CV30" s="346">
        <f t="shared" si="35"/>
        <v>1</v>
      </c>
    </row>
    <row r="31" spans="1:100" s="3" customFormat="1" ht="242.25" x14ac:dyDescent="0.25">
      <c r="A31" s="455" t="s">
        <v>79</v>
      </c>
      <c r="B31" s="455" t="s">
        <v>80</v>
      </c>
      <c r="C31" s="455" t="s">
        <v>81</v>
      </c>
      <c r="D31" s="455" t="s">
        <v>82</v>
      </c>
      <c r="E31" s="455" t="s">
        <v>83</v>
      </c>
      <c r="F31" s="455" t="s">
        <v>84</v>
      </c>
      <c r="G31" s="455" t="s">
        <v>85</v>
      </c>
      <c r="H31" s="455" t="s">
        <v>86</v>
      </c>
      <c r="I31" s="455" t="s">
        <v>87</v>
      </c>
      <c r="J31" s="455" t="s">
        <v>88</v>
      </c>
      <c r="K31" s="456" t="s">
        <v>208</v>
      </c>
      <c r="L31" s="456" t="s">
        <v>89</v>
      </c>
      <c r="M31" s="456" t="s">
        <v>285</v>
      </c>
      <c r="N31" s="457" t="s">
        <v>210</v>
      </c>
      <c r="O31" s="457" t="s">
        <v>211</v>
      </c>
      <c r="P31" s="914"/>
      <c r="Q31" s="456" t="s">
        <v>94</v>
      </c>
      <c r="R31" s="456" t="s">
        <v>95</v>
      </c>
      <c r="S31" s="461">
        <v>8</v>
      </c>
      <c r="T31" s="459" t="s">
        <v>286</v>
      </c>
      <c r="U31" s="455" t="s">
        <v>287</v>
      </c>
      <c r="V31" s="456" t="s">
        <v>119</v>
      </c>
      <c r="W31" s="498" t="s">
        <v>288</v>
      </c>
      <c r="X31" s="460"/>
      <c r="Y31" s="460"/>
      <c r="Z31" s="460"/>
      <c r="AA31" s="518"/>
      <c r="AB31" s="514"/>
      <c r="AC31" s="21"/>
      <c r="AD31" s="21"/>
      <c r="AE31" s="21"/>
      <c r="AF31" s="692">
        <f t="shared" si="3"/>
        <v>0</v>
      </c>
      <c r="AG31" s="693" t="s">
        <v>146</v>
      </c>
      <c r="AH31" s="698"/>
      <c r="AI31" s="695"/>
      <c r="AJ31" s="696"/>
      <c r="AK31" s="693"/>
      <c r="AL31" s="692"/>
      <c r="AM31" s="696"/>
      <c r="AN31" s="693"/>
      <c r="AO31" s="693"/>
      <c r="AP31" s="693"/>
      <c r="AQ31" s="696"/>
      <c r="AR31" s="414">
        <f t="shared" si="36"/>
        <v>0</v>
      </c>
      <c r="AS31" s="402"/>
      <c r="AT31" s="736"/>
      <c r="AU31" s="737"/>
      <c r="AV31" s="736"/>
      <c r="AW31" s="729"/>
      <c r="AX31" s="397"/>
      <c r="AY31" s="741"/>
      <c r="AZ31" s="398"/>
      <c r="BA31" s="398"/>
      <c r="BB31" s="398"/>
      <c r="BC31" s="18"/>
      <c r="BD31" s="14"/>
      <c r="BE31" s="650" t="s">
        <v>227</v>
      </c>
      <c r="BF31" s="681"/>
      <c r="BG31" s="754"/>
      <c r="BH31" s="754"/>
      <c r="BI31" s="658"/>
      <c r="BJ31" s="754"/>
      <c r="BK31" s="754"/>
      <c r="BL31" s="682"/>
      <c r="BM31" s="682"/>
      <c r="BN31" s="682"/>
      <c r="BO31" s="754"/>
      <c r="BP31" s="839"/>
      <c r="BQ31" s="809"/>
      <c r="BR31" s="812"/>
      <c r="BS31" s="810" t="s">
        <v>289</v>
      </c>
      <c r="BT31" s="808"/>
      <c r="BU31" s="806"/>
      <c r="BV31" s="806"/>
      <c r="BW31" s="806"/>
      <c r="BX31" s="847">
        <f t="shared" si="24"/>
        <v>0</v>
      </c>
      <c r="BY31" s="847">
        <f t="shared" si="25"/>
        <v>0</v>
      </c>
      <c r="BZ31" s="847">
        <f t="shared" si="26"/>
        <v>0</v>
      </c>
      <c r="CA31" s="847">
        <f t="shared" si="27"/>
        <v>0</v>
      </c>
      <c r="CB31" s="16">
        <f t="shared" si="28"/>
        <v>0</v>
      </c>
      <c r="CC31" s="16">
        <f t="shared" si="29"/>
        <v>0</v>
      </c>
      <c r="CD31" s="16"/>
      <c r="CE31" s="16"/>
      <c r="CF31" s="16" t="e">
        <f>SUM(#REF!/(CC31+CB31))</f>
        <v>#REF!</v>
      </c>
      <c r="CG31" s="19"/>
      <c r="CH31" s="19"/>
      <c r="CI31" s="19"/>
      <c r="CJ31" s="19"/>
      <c r="CV31" s="346">
        <f t="shared" si="35"/>
        <v>0</v>
      </c>
    </row>
    <row r="32" spans="1:100" s="3" customFormat="1" ht="171" x14ac:dyDescent="0.25">
      <c r="A32" s="455" t="s">
        <v>79</v>
      </c>
      <c r="B32" s="455" t="s">
        <v>80</v>
      </c>
      <c r="C32" s="455" t="s">
        <v>81</v>
      </c>
      <c r="D32" s="455" t="s">
        <v>82</v>
      </c>
      <c r="E32" s="455" t="s">
        <v>83</v>
      </c>
      <c r="F32" s="455" t="s">
        <v>84</v>
      </c>
      <c r="G32" s="455" t="s">
        <v>85</v>
      </c>
      <c r="H32" s="455" t="s">
        <v>86</v>
      </c>
      <c r="I32" s="455" t="s">
        <v>87</v>
      </c>
      <c r="J32" s="455" t="s">
        <v>152</v>
      </c>
      <c r="K32" s="456" t="s">
        <v>208</v>
      </c>
      <c r="L32" s="456" t="s">
        <v>89</v>
      </c>
      <c r="M32" s="456" t="s">
        <v>290</v>
      </c>
      <c r="N32" s="457" t="s">
        <v>210</v>
      </c>
      <c r="O32" s="457" t="s">
        <v>211</v>
      </c>
      <c r="P32" s="914"/>
      <c r="Q32" s="456" t="s">
        <v>94</v>
      </c>
      <c r="R32" s="456" t="s">
        <v>95</v>
      </c>
      <c r="S32" s="461">
        <v>1</v>
      </c>
      <c r="T32" s="455" t="s">
        <v>291</v>
      </c>
      <c r="U32" s="455" t="s">
        <v>292</v>
      </c>
      <c r="V32" s="456" t="s">
        <v>119</v>
      </c>
      <c r="W32" s="498" t="s">
        <v>293</v>
      </c>
      <c r="X32" s="460"/>
      <c r="Y32" s="460"/>
      <c r="Z32" s="460"/>
      <c r="AA32" s="518"/>
      <c r="AB32" s="514"/>
      <c r="AC32" s="21"/>
      <c r="AD32" s="21"/>
      <c r="AE32" s="21"/>
      <c r="AF32" s="692">
        <f t="shared" si="3"/>
        <v>0</v>
      </c>
      <c r="AG32" s="693" t="s">
        <v>146</v>
      </c>
      <c r="AH32" s="698"/>
      <c r="AI32" s="695"/>
      <c r="AJ32" s="696"/>
      <c r="AK32" s="693"/>
      <c r="AL32" s="692"/>
      <c r="AM32" s="696"/>
      <c r="AN32" s="693"/>
      <c r="AO32" s="693"/>
      <c r="AP32" s="693"/>
      <c r="AQ32" s="696"/>
      <c r="AR32" s="414">
        <f t="shared" si="36"/>
        <v>0</v>
      </c>
      <c r="AS32" s="402"/>
      <c r="AT32" s="736"/>
      <c r="AU32" s="737"/>
      <c r="AV32" s="736"/>
      <c r="AW32" s="729"/>
      <c r="AX32" s="397"/>
      <c r="AY32" s="400"/>
      <c r="AZ32" s="398"/>
      <c r="BA32" s="398"/>
      <c r="BB32" s="398"/>
      <c r="BC32" s="18"/>
      <c r="BD32" s="14"/>
      <c r="BE32" s="650" t="s">
        <v>227</v>
      </c>
      <c r="BF32" s="681"/>
      <c r="BG32" s="754"/>
      <c r="BH32" s="754"/>
      <c r="BI32" s="658"/>
      <c r="BJ32" s="754"/>
      <c r="BK32" s="754"/>
      <c r="BL32" s="682"/>
      <c r="BM32" s="682"/>
      <c r="BN32" s="682"/>
      <c r="BO32" s="754"/>
      <c r="BP32" s="839"/>
      <c r="BQ32" s="809"/>
      <c r="BR32" s="812"/>
      <c r="BS32" s="809"/>
      <c r="BT32" s="808"/>
      <c r="BU32" s="806"/>
      <c r="BV32" s="806"/>
      <c r="BW32" s="806"/>
      <c r="BX32" s="847">
        <f t="shared" si="24"/>
        <v>0</v>
      </c>
      <c r="BY32" s="847">
        <f t="shared" si="25"/>
        <v>0</v>
      </c>
      <c r="BZ32" s="847">
        <f t="shared" si="26"/>
        <v>0</v>
      </c>
      <c r="CA32" s="847">
        <f t="shared" si="27"/>
        <v>0</v>
      </c>
      <c r="CB32" s="16">
        <f t="shared" si="28"/>
        <v>0</v>
      </c>
      <c r="CC32" s="16">
        <f t="shared" si="29"/>
        <v>0</v>
      </c>
      <c r="CD32" s="16"/>
      <c r="CE32" s="16"/>
      <c r="CF32" s="16" t="e">
        <f>SUM(#REF!/(CC32+CB32))</f>
        <v>#REF!</v>
      </c>
      <c r="CG32" s="19"/>
      <c r="CH32" s="19"/>
      <c r="CI32" s="19"/>
      <c r="CJ32" s="19"/>
      <c r="CV32" s="346">
        <f t="shared" si="35"/>
        <v>0</v>
      </c>
    </row>
    <row r="33" spans="1:100" s="3" customFormat="1" ht="171" x14ac:dyDescent="0.25">
      <c r="A33" s="350" t="s">
        <v>79</v>
      </c>
      <c r="B33" s="350" t="s">
        <v>80</v>
      </c>
      <c r="C33" s="350" t="s">
        <v>81</v>
      </c>
      <c r="D33" s="350" t="s">
        <v>82</v>
      </c>
      <c r="E33" s="350" t="s">
        <v>83</v>
      </c>
      <c r="F33" s="350" t="s">
        <v>84</v>
      </c>
      <c r="G33" s="350" t="s">
        <v>85</v>
      </c>
      <c r="H33" s="350" t="s">
        <v>86</v>
      </c>
      <c r="I33" s="350" t="s">
        <v>87</v>
      </c>
      <c r="J33" s="350" t="s">
        <v>152</v>
      </c>
      <c r="K33" s="364" t="s">
        <v>208</v>
      </c>
      <c r="L33" s="364" t="s">
        <v>89</v>
      </c>
      <c r="M33" s="456" t="s">
        <v>294</v>
      </c>
      <c r="N33" s="361" t="s">
        <v>210</v>
      </c>
      <c r="O33" s="361" t="s">
        <v>211</v>
      </c>
      <c r="P33" s="662">
        <v>74153895.333333328</v>
      </c>
      <c r="Q33" s="364" t="s">
        <v>94</v>
      </c>
      <c r="R33" s="364" t="s">
        <v>213</v>
      </c>
      <c r="S33" s="365">
        <v>1</v>
      </c>
      <c r="T33" s="350" t="s">
        <v>295</v>
      </c>
      <c r="U33" s="350" t="s">
        <v>296</v>
      </c>
      <c r="V33" s="364" t="s">
        <v>119</v>
      </c>
      <c r="W33" s="366" t="s">
        <v>297</v>
      </c>
      <c r="X33" s="436">
        <v>0</v>
      </c>
      <c r="Y33" s="436">
        <v>0</v>
      </c>
      <c r="Z33" s="436">
        <v>0.5</v>
      </c>
      <c r="AA33" s="515">
        <v>0.5</v>
      </c>
      <c r="AB33" s="525">
        <v>6.25</v>
      </c>
      <c r="AC33" s="413">
        <v>1.2987012987012987</v>
      </c>
      <c r="AD33" s="413">
        <v>0.30208312500000001</v>
      </c>
      <c r="AE33" s="413">
        <v>0.37727272727272726</v>
      </c>
      <c r="AF33" s="692">
        <f t="shared" si="3"/>
        <v>0</v>
      </c>
      <c r="AG33" s="693" t="s">
        <v>146</v>
      </c>
      <c r="AH33" s="698">
        <v>0</v>
      </c>
      <c r="AI33" s="695"/>
      <c r="AJ33" s="696"/>
      <c r="AK33" s="693"/>
      <c r="AL33" s="692">
        <f t="shared" ref="AL33:AL96" si="37">AF33*AH33</f>
        <v>0</v>
      </c>
      <c r="AM33" s="695" t="s">
        <v>121</v>
      </c>
      <c r="AN33" s="693">
        <f t="shared" ref="AN33:AN96" si="38">AL33*AB33</f>
        <v>0</v>
      </c>
      <c r="AO33" s="693">
        <f t="shared" ref="AO33:AO96" si="39">AL33*AC33</f>
        <v>0</v>
      </c>
      <c r="AP33" s="693">
        <f t="shared" ref="AP33:AP96" si="40">AL33*AD33</f>
        <v>0</v>
      </c>
      <c r="AQ33" s="696"/>
      <c r="AR33" s="414">
        <f t="shared" si="36"/>
        <v>0</v>
      </c>
      <c r="AS33" s="402" t="s">
        <v>146</v>
      </c>
      <c r="AT33" s="740"/>
      <c r="AU33" s="737" t="s">
        <v>298</v>
      </c>
      <c r="AV33" s="737" t="s">
        <v>299</v>
      </c>
      <c r="AW33" s="729"/>
      <c r="AX33" s="397">
        <f t="shared" ref="AX33:AX96" si="41">AR33*AT33</f>
        <v>0</v>
      </c>
      <c r="AY33" s="400" t="s">
        <v>300</v>
      </c>
      <c r="AZ33" s="398">
        <f t="shared" ref="AZ33:AZ96" si="42">AX33*AB33</f>
        <v>0</v>
      </c>
      <c r="BA33" s="398">
        <f t="shared" ref="BA33:BA96" si="43">AX33*AC33</f>
        <v>0</v>
      </c>
      <c r="BB33" s="398">
        <f t="shared" ref="BB33:BB96" si="44">AX33*AD33</f>
        <v>0</v>
      </c>
      <c r="BC33" s="18"/>
      <c r="BD33" s="14">
        <f t="shared" ref="BD33:BD96" si="45">Z33</f>
        <v>0.5</v>
      </c>
      <c r="BE33" s="677" t="s">
        <v>100</v>
      </c>
      <c r="BF33" s="682">
        <f>1/2</f>
        <v>0.5</v>
      </c>
      <c r="BG33" s="680" t="s">
        <v>301</v>
      </c>
      <c r="BH33" s="754"/>
      <c r="BI33" s="658" t="str">
        <f t="shared" si="31"/>
        <v>BAJO</v>
      </c>
      <c r="BJ33" s="681">
        <f t="shared" ref="BJ33:BJ96" si="46">BD33*BF33</f>
        <v>0.25</v>
      </c>
      <c r="BK33" s="680" t="s">
        <v>302</v>
      </c>
      <c r="BL33" s="682">
        <f t="shared" si="19"/>
        <v>0.04</v>
      </c>
      <c r="BM33" s="682">
        <f t="shared" si="20"/>
        <v>0.1925</v>
      </c>
      <c r="BN33" s="682">
        <f t="shared" si="21"/>
        <v>0.82758677764605348</v>
      </c>
      <c r="BO33" s="754"/>
      <c r="BP33" s="860">
        <v>0.5</v>
      </c>
      <c r="BQ33" s="854" t="s">
        <v>105</v>
      </c>
      <c r="BR33" s="861">
        <f>100/100</f>
        <v>1</v>
      </c>
      <c r="BS33" s="856" t="s">
        <v>303</v>
      </c>
      <c r="BT33" s="858" t="s">
        <v>304</v>
      </c>
      <c r="BU33" s="905" t="str">
        <f t="shared" ref="BU33:BU96" si="47">+IF(AND(BR33&gt;=0%,BR33&lt;=60%),"BAJO",IF(AND(BR33&gt;=61%,BR33&lt;=80%),"MEDIO","ALTO"))</f>
        <v>ALTO</v>
      </c>
      <c r="BV33" s="875">
        <f t="shared" ref="BV33:BV67" si="48">BP33*BR33</f>
        <v>0.5</v>
      </c>
      <c r="BW33" s="859" t="s">
        <v>305</v>
      </c>
      <c r="BX33" s="857">
        <f t="shared" si="24"/>
        <v>3.125</v>
      </c>
      <c r="BY33" s="857">
        <f t="shared" si="25"/>
        <v>0.64935064935064934</v>
      </c>
      <c r="BZ33" s="857">
        <f t="shared" si="26"/>
        <v>0.1510415625</v>
      </c>
      <c r="CA33" s="857">
        <f t="shared" si="27"/>
        <v>0.18863636363636363</v>
      </c>
      <c r="CB33" s="16">
        <f t="shared" si="28"/>
        <v>1</v>
      </c>
      <c r="CC33" s="16">
        <f t="shared" si="29"/>
        <v>0</v>
      </c>
      <c r="CD33" s="16">
        <f t="shared" ref="CD33:CD67" si="49">SUM(X33+Y33+Z33+AA33)</f>
        <v>1</v>
      </c>
      <c r="CE33" s="16">
        <f t="shared" ref="CE33:CE67" si="50">SUM(AL33+AX33+BJ33+BV33)</f>
        <v>0.75</v>
      </c>
      <c r="CF33" s="16" t="e">
        <f>SUM(#REF!/(CC33+CB33))</f>
        <v>#REF!</v>
      </c>
      <c r="CG33" s="19"/>
      <c r="CH33" s="19"/>
      <c r="CI33" s="19"/>
      <c r="CJ33" s="19"/>
      <c r="CV33" s="346">
        <f t="shared" si="35"/>
        <v>1</v>
      </c>
    </row>
    <row r="34" spans="1:100" s="3" customFormat="1" ht="171" x14ac:dyDescent="0.25">
      <c r="A34" s="350" t="s">
        <v>79</v>
      </c>
      <c r="B34" s="350" t="s">
        <v>80</v>
      </c>
      <c r="C34" s="350" t="s">
        <v>81</v>
      </c>
      <c r="D34" s="350" t="s">
        <v>82</v>
      </c>
      <c r="E34" s="350" t="s">
        <v>83</v>
      </c>
      <c r="F34" s="350" t="s">
        <v>84</v>
      </c>
      <c r="G34" s="350" t="s">
        <v>85</v>
      </c>
      <c r="H34" s="350" t="s">
        <v>86</v>
      </c>
      <c r="I34" s="350" t="s">
        <v>87</v>
      </c>
      <c r="J34" s="350" t="s">
        <v>152</v>
      </c>
      <c r="K34" s="364" t="s">
        <v>208</v>
      </c>
      <c r="L34" s="364" t="s">
        <v>89</v>
      </c>
      <c r="M34" s="456" t="s">
        <v>306</v>
      </c>
      <c r="N34" s="361" t="s">
        <v>210</v>
      </c>
      <c r="O34" s="361" t="s">
        <v>211</v>
      </c>
      <c r="P34" s="662">
        <v>74153895.333333328</v>
      </c>
      <c r="Q34" s="364" t="s">
        <v>94</v>
      </c>
      <c r="R34" s="364" t="s">
        <v>213</v>
      </c>
      <c r="S34" s="365">
        <v>1</v>
      </c>
      <c r="T34" s="366" t="s">
        <v>307</v>
      </c>
      <c r="U34" s="350" t="s">
        <v>308</v>
      </c>
      <c r="V34" s="364" t="s">
        <v>253</v>
      </c>
      <c r="W34" s="366" t="s">
        <v>309</v>
      </c>
      <c r="X34" s="436">
        <v>0</v>
      </c>
      <c r="Y34" s="436">
        <v>0.5</v>
      </c>
      <c r="Z34" s="436">
        <v>0.5</v>
      </c>
      <c r="AA34" s="515">
        <v>0</v>
      </c>
      <c r="AB34" s="525">
        <v>6.25</v>
      </c>
      <c r="AC34" s="413">
        <v>1.2987012987012987</v>
      </c>
      <c r="AD34" s="413">
        <v>0.30208312500000001</v>
      </c>
      <c r="AE34" s="413">
        <v>0.37727272727272726</v>
      </c>
      <c r="AF34" s="692">
        <f t="shared" si="3"/>
        <v>0</v>
      </c>
      <c r="AG34" s="693" t="s">
        <v>146</v>
      </c>
      <c r="AH34" s="698">
        <v>0</v>
      </c>
      <c r="AI34" s="695"/>
      <c r="AJ34" s="696"/>
      <c r="AK34" s="693"/>
      <c r="AL34" s="692">
        <f t="shared" si="37"/>
        <v>0</v>
      </c>
      <c r="AM34" s="695" t="s">
        <v>121</v>
      </c>
      <c r="AN34" s="693">
        <f t="shared" si="38"/>
        <v>0</v>
      </c>
      <c r="AO34" s="693">
        <f t="shared" si="39"/>
        <v>0</v>
      </c>
      <c r="AP34" s="693">
        <f t="shared" si="40"/>
        <v>0</v>
      </c>
      <c r="AQ34" s="696"/>
      <c r="AR34" s="401">
        <f t="shared" si="36"/>
        <v>0.5</v>
      </c>
      <c r="AS34" s="402" t="s">
        <v>100</v>
      </c>
      <c r="AT34" s="408">
        <f>1/1</f>
        <v>1</v>
      </c>
      <c r="AU34" s="406" t="s">
        <v>310</v>
      </c>
      <c r="AV34" s="404"/>
      <c r="AW34" s="729" t="str">
        <f t="shared" ref="AW34:AW95" si="51">+IF(AND(AT34&gt;=0%,AT34&lt;=60%),"BAJO",IF(AND(AT34&gt;=61%,AT34&lt;=80%),"MEDIO","ALTO"))</f>
        <v>ALTO</v>
      </c>
      <c r="AX34" s="397">
        <f t="shared" si="41"/>
        <v>0.5</v>
      </c>
      <c r="AY34" s="400" t="s">
        <v>246</v>
      </c>
      <c r="AZ34" s="398">
        <f t="shared" si="42"/>
        <v>3.125</v>
      </c>
      <c r="BA34" s="398">
        <f t="shared" si="43"/>
        <v>0.64935064935064934</v>
      </c>
      <c r="BB34" s="398">
        <f t="shared" si="44"/>
        <v>0.1510415625</v>
      </c>
      <c r="BC34" s="18"/>
      <c r="BD34" s="14">
        <f t="shared" si="45"/>
        <v>0.5</v>
      </c>
      <c r="BE34" s="677" t="s">
        <v>100</v>
      </c>
      <c r="BF34" s="681">
        <v>0</v>
      </c>
      <c r="BG34" s="680" t="s">
        <v>311</v>
      </c>
      <c r="BH34" s="754"/>
      <c r="BI34" s="658" t="str">
        <f t="shared" si="31"/>
        <v>BAJO</v>
      </c>
      <c r="BJ34" s="681">
        <f t="shared" si="46"/>
        <v>0</v>
      </c>
      <c r="BK34" s="680" t="s">
        <v>312</v>
      </c>
      <c r="BL34" s="682">
        <f t="shared" si="19"/>
        <v>0</v>
      </c>
      <c r="BM34" s="682">
        <f t="shared" si="20"/>
        <v>0</v>
      </c>
      <c r="BN34" s="682">
        <f t="shared" si="21"/>
        <v>0</v>
      </c>
      <c r="BO34" s="754"/>
      <c r="BP34" s="860">
        <v>0</v>
      </c>
      <c r="BQ34" s="854" t="s">
        <v>105</v>
      </c>
      <c r="BR34" s="861">
        <f>100/100</f>
        <v>1</v>
      </c>
      <c r="BS34" s="856" t="s">
        <v>313</v>
      </c>
      <c r="BT34" s="857"/>
      <c r="BU34" s="905" t="str">
        <f t="shared" si="47"/>
        <v>ALTO</v>
      </c>
      <c r="BV34" s="875">
        <f t="shared" si="48"/>
        <v>0</v>
      </c>
      <c r="BW34" s="859" t="s">
        <v>314</v>
      </c>
      <c r="BX34" s="857">
        <f t="shared" si="24"/>
        <v>0</v>
      </c>
      <c r="BY34" s="857">
        <f t="shared" si="25"/>
        <v>0</v>
      </c>
      <c r="BZ34" s="857">
        <f t="shared" si="26"/>
        <v>0</v>
      </c>
      <c r="CA34" s="857">
        <f t="shared" si="27"/>
        <v>0</v>
      </c>
      <c r="CB34" s="16">
        <f t="shared" si="28"/>
        <v>0.5</v>
      </c>
      <c r="CC34" s="16">
        <f t="shared" si="29"/>
        <v>0.5</v>
      </c>
      <c r="CD34" s="16">
        <f t="shared" si="49"/>
        <v>1</v>
      </c>
      <c r="CE34" s="16">
        <f t="shared" si="50"/>
        <v>0.5</v>
      </c>
      <c r="CF34" s="16" t="e">
        <f>SUM(#REF!/(CC34+CB34))</f>
        <v>#REF!</v>
      </c>
      <c r="CG34" s="19"/>
      <c r="CH34" s="19"/>
      <c r="CI34" s="19"/>
      <c r="CJ34" s="19"/>
      <c r="CV34" s="346">
        <f t="shared" si="35"/>
        <v>1</v>
      </c>
    </row>
    <row r="35" spans="1:100" s="3" customFormat="1" ht="171" x14ac:dyDescent="0.25">
      <c r="A35" s="350" t="s">
        <v>79</v>
      </c>
      <c r="B35" s="350" t="s">
        <v>80</v>
      </c>
      <c r="C35" s="350" t="s">
        <v>81</v>
      </c>
      <c r="D35" s="350" t="s">
        <v>82</v>
      </c>
      <c r="E35" s="350" t="s">
        <v>83</v>
      </c>
      <c r="F35" s="350" t="s">
        <v>84</v>
      </c>
      <c r="G35" s="350" t="s">
        <v>85</v>
      </c>
      <c r="H35" s="350" t="s">
        <v>86</v>
      </c>
      <c r="I35" s="350" t="s">
        <v>87</v>
      </c>
      <c r="J35" s="350" t="s">
        <v>152</v>
      </c>
      <c r="K35" s="364" t="s">
        <v>208</v>
      </c>
      <c r="L35" s="364" t="s">
        <v>89</v>
      </c>
      <c r="M35" s="456" t="s">
        <v>315</v>
      </c>
      <c r="N35" s="361" t="s">
        <v>210</v>
      </c>
      <c r="O35" s="361" t="s">
        <v>211</v>
      </c>
      <c r="P35" s="662">
        <v>74153895.333333328</v>
      </c>
      <c r="Q35" s="364" t="s">
        <v>94</v>
      </c>
      <c r="R35" s="364" t="s">
        <v>213</v>
      </c>
      <c r="S35" s="365">
        <v>1</v>
      </c>
      <c r="T35" s="366" t="s">
        <v>316</v>
      </c>
      <c r="U35" s="366" t="s">
        <v>317</v>
      </c>
      <c r="V35" s="364" t="s">
        <v>253</v>
      </c>
      <c r="W35" s="366" t="s">
        <v>318</v>
      </c>
      <c r="X35" s="436">
        <v>0</v>
      </c>
      <c r="Y35" s="436">
        <v>0</v>
      </c>
      <c r="Z35" s="436">
        <v>0.5</v>
      </c>
      <c r="AA35" s="515">
        <v>0.5</v>
      </c>
      <c r="AB35" s="525">
        <v>6.25</v>
      </c>
      <c r="AC35" s="413">
        <v>1.2987012987012987</v>
      </c>
      <c r="AD35" s="413">
        <v>0.30208312500000001</v>
      </c>
      <c r="AE35" s="413">
        <v>0.37727272727272726</v>
      </c>
      <c r="AF35" s="692">
        <f t="shared" si="3"/>
        <v>0</v>
      </c>
      <c r="AG35" s="693" t="s">
        <v>146</v>
      </c>
      <c r="AH35" s="698">
        <v>0</v>
      </c>
      <c r="AI35" s="695"/>
      <c r="AJ35" s="696"/>
      <c r="AK35" s="693"/>
      <c r="AL35" s="692">
        <f t="shared" si="37"/>
        <v>0</v>
      </c>
      <c r="AM35" s="695" t="s">
        <v>121</v>
      </c>
      <c r="AN35" s="693">
        <f t="shared" si="38"/>
        <v>0</v>
      </c>
      <c r="AO35" s="693">
        <f t="shared" si="39"/>
        <v>0</v>
      </c>
      <c r="AP35" s="693">
        <f t="shared" si="40"/>
        <v>0</v>
      </c>
      <c r="AQ35" s="696"/>
      <c r="AR35" s="401">
        <f t="shared" si="36"/>
        <v>0</v>
      </c>
      <c r="AS35" s="402" t="s">
        <v>146</v>
      </c>
      <c r="AT35" s="408">
        <v>0</v>
      </c>
      <c r="AU35" s="406"/>
      <c r="AV35" s="404"/>
      <c r="AW35" s="729"/>
      <c r="AX35" s="397">
        <f t="shared" si="41"/>
        <v>0</v>
      </c>
      <c r="AY35" s="400" t="s">
        <v>121</v>
      </c>
      <c r="AZ35" s="398">
        <f t="shared" si="42"/>
        <v>0</v>
      </c>
      <c r="BA35" s="398">
        <f t="shared" si="43"/>
        <v>0</v>
      </c>
      <c r="BB35" s="398">
        <f t="shared" si="44"/>
        <v>0</v>
      </c>
      <c r="BC35" s="18"/>
      <c r="BD35" s="14">
        <f t="shared" si="45"/>
        <v>0.5</v>
      </c>
      <c r="BE35" s="677" t="s">
        <v>100</v>
      </c>
      <c r="BF35" s="681">
        <v>1</v>
      </c>
      <c r="BG35" s="680" t="s">
        <v>319</v>
      </c>
      <c r="BH35" s="754"/>
      <c r="BI35" s="658" t="str">
        <f t="shared" si="31"/>
        <v>ALTO</v>
      </c>
      <c r="BJ35" s="681">
        <f t="shared" si="46"/>
        <v>0.5</v>
      </c>
      <c r="BK35" s="680" t="s">
        <v>320</v>
      </c>
      <c r="BL35" s="682">
        <f t="shared" si="19"/>
        <v>0.08</v>
      </c>
      <c r="BM35" s="682">
        <f t="shared" si="20"/>
        <v>0.38500000000000001</v>
      </c>
      <c r="BN35" s="682">
        <f t="shared" si="21"/>
        <v>1.655173555292107</v>
      </c>
      <c r="BO35" s="754"/>
      <c r="BP35" s="860">
        <v>0.5</v>
      </c>
      <c r="BQ35" s="854" t="s">
        <v>105</v>
      </c>
      <c r="BR35" s="861">
        <f>100/100</f>
        <v>1</v>
      </c>
      <c r="BS35" s="856" t="s">
        <v>321</v>
      </c>
      <c r="BT35" s="857"/>
      <c r="BU35" s="905" t="str">
        <f t="shared" si="47"/>
        <v>ALTO</v>
      </c>
      <c r="BV35" s="875">
        <f t="shared" si="48"/>
        <v>0.5</v>
      </c>
      <c r="BW35" s="859" t="s">
        <v>322</v>
      </c>
      <c r="BX35" s="857">
        <f t="shared" si="24"/>
        <v>3.125</v>
      </c>
      <c r="BY35" s="857">
        <f t="shared" si="25"/>
        <v>0.64935064935064934</v>
      </c>
      <c r="BZ35" s="857">
        <f t="shared" si="26"/>
        <v>0.1510415625</v>
      </c>
      <c r="CA35" s="857">
        <f t="shared" si="27"/>
        <v>0.18863636363636363</v>
      </c>
      <c r="CB35" s="16">
        <f t="shared" si="28"/>
        <v>1</v>
      </c>
      <c r="CC35" s="16">
        <f t="shared" si="29"/>
        <v>0</v>
      </c>
      <c r="CD35" s="16">
        <f t="shared" si="49"/>
        <v>1</v>
      </c>
      <c r="CE35" s="16">
        <f t="shared" si="50"/>
        <v>1</v>
      </c>
      <c r="CF35" s="16" t="e">
        <f>SUM(#REF!/(CC35+CB35))</f>
        <v>#REF!</v>
      </c>
      <c r="CG35" s="19"/>
      <c r="CH35" s="19"/>
      <c r="CI35" s="19"/>
      <c r="CJ35" s="19"/>
      <c r="CV35" s="346">
        <f t="shared" si="35"/>
        <v>1</v>
      </c>
    </row>
    <row r="36" spans="1:100" s="3" customFormat="1" ht="171" x14ac:dyDescent="0.25">
      <c r="A36" s="350" t="s">
        <v>79</v>
      </c>
      <c r="B36" s="350" t="s">
        <v>80</v>
      </c>
      <c r="C36" s="350" t="s">
        <v>81</v>
      </c>
      <c r="D36" s="350" t="s">
        <v>82</v>
      </c>
      <c r="E36" s="350" t="s">
        <v>83</v>
      </c>
      <c r="F36" s="350" t="s">
        <v>84</v>
      </c>
      <c r="G36" s="350" t="s">
        <v>85</v>
      </c>
      <c r="H36" s="350" t="s">
        <v>86</v>
      </c>
      <c r="I36" s="350" t="s">
        <v>87</v>
      </c>
      <c r="J36" s="350" t="s">
        <v>152</v>
      </c>
      <c r="K36" s="364" t="s">
        <v>208</v>
      </c>
      <c r="L36" s="364" t="s">
        <v>89</v>
      </c>
      <c r="M36" s="456" t="s">
        <v>323</v>
      </c>
      <c r="N36" s="361" t="s">
        <v>210</v>
      </c>
      <c r="O36" s="361" t="s">
        <v>211</v>
      </c>
      <c r="P36" s="662">
        <v>74153895.333333328</v>
      </c>
      <c r="Q36" s="364" t="s">
        <v>94</v>
      </c>
      <c r="R36" s="364" t="s">
        <v>213</v>
      </c>
      <c r="S36" s="365">
        <v>1</v>
      </c>
      <c r="T36" s="366" t="s">
        <v>324</v>
      </c>
      <c r="U36" s="366" t="s">
        <v>325</v>
      </c>
      <c r="V36" s="364" t="s">
        <v>119</v>
      </c>
      <c r="W36" s="366" t="s">
        <v>326</v>
      </c>
      <c r="X36" s="436">
        <v>0</v>
      </c>
      <c r="Y36" s="436">
        <v>0</v>
      </c>
      <c r="Z36" s="436">
        <v>0.5</v>
      </c>
      <c r="AA36" s="515">
        <v>0.5</v>
      </c>
      <c r="AB36" s="525">
        <v>6.25</v>
      </c>
      <c r="AC36" s="413">
        <v>1.2987012987012987</v>
      </c>
      <c r="AD36" s="413">
        <v>0.30208312500000001</v>
      </c>
      <c r="AE36" s="413">
        <v>0.37727272727272726</v>
      </c>
      <c r="AF36" s="692">
        <f t="shared" si="3"/>
        <v>0</v>
      </c>
      <c r="AG36" s="693" t="s">
        <v>146</v>
      </c>
      <c r="AH36" s="698">
        <v>0</v>
      </c>
      <c r="AI36" s="695"/>
      <c r="AJ36" s="696"/>
      <c r="AK36" s="693"/>
      <c r="AL36" s="692">
        <f t="shared" si="37"/>
        <v>0</v>
      </c>
      <c r="AM36" s="695" t="s">
        <v>121</v>
      </c>
      <c r="AN36" s="693">
        <f t="shared" si="38"/>
        <v>0</v>
      </c>
      <c r="AO36" s="693">
        <f t="shared" si="39"/>
        <v>0</v>
      </c>
      <c r="AP36" s="693">
        <f t="shared" si="40"/>
        <v>0</v>
      </c>
      <c r="AQ36" s="696"/>
      <c r="AR36" s="401">
        <f t="shared" si="36"/>
        <v>0</v>
      </c>
      <c r="AS36" s="402" t="s">
        <v>146</v>
      </c>
      <c r="AT36" s="408">
        <v>0</v>
      </c>
      <c r="AU36" s="406"/>
      <c r="AV36" s="404"/>
      <c r="AW36" s="729"/>
      <c r="AX36" s="397">
        <f t="shared" si="41"/>
        <v>0</v>
      </c>
      <c r="AY36" s="400" t="s">
        <v>121</v>
      </c>
      <c r="AZ36" s="398">
        <f t="shared" si="42"/>
        <v>0</v>
      </c>
      <c r="BA36" s="398">
        <f t="shared" si="43"/>
        <v>0</v>
      </c>
      <c r="BB36" s="398">
        <f t="shared" si="44"/>
        <v>0</v>
      </c>
      <c r="BC36" s="18"/>
      <c r="BD36" s="14">
        <f t="shared" si="45"/>
        <v>0.5</v>
      </c>
      <c r="BE36" s="677" t="s">
        <v>100</v>
      </c>
      <c r="BF36" s="681">
        <v>0</v>
      </c>
      <c r="BG36" s="680" t="s">
        <v>327</v>
      </c>
      <c r="BH36" s="680" t="s">
        <v>328</v>
      </c>
      <c r="BI36" s="658" t="str">
        <f t="shared" si="31"/>
        <v>BAJO</v>
      </c>
      <c r="BJ36" s="681">
        <f t="shared" si="46"/>
        <v>0</v>
      </c>
      <c r="BK36" s="680" t="s">
        <v>329</v>
      </c>
      <c r="BL36" s="682">
        <f t="shared" si="19"/>
        <v>0</v>
      </c>
      <c r="BM36" s="682">
        <f t="shared" si="20"/>
        <v>0</v>
      </c>
      <c r="BN36" s="682">
        <f t="shared" si="21"/>
        <v>0</v>
      </c>
      <c r="BO36" s="754"/>
      <c r="BP36" s="860">
        <v>0.5</v>
      </c>
      <c r="BQ36" s="854" t="s">
        <v>105</v>
      </c>
      <c r="BR36" s="861">
        <f>100/100</f>
        <v>1</v>
      </c>
      <c r="BS36" s="856" t="s">
        <v>330</v>
      </c>
      <c r="BT36" s="857"/>
      <c r="BU36" s="905" t="str">
        <f t="shared" si="47"/>
        <v>ALTO</v>
      </c>
      <c r="BV36" s="875">
        <f t="shared" si="48"/>
        <v>0.5</v>
      </c>
      <c r="BW36" s="859" t="s">
        <v>331</v>
      </c>
      <c r="BX36" s="857">
        <f t="shared" si="24"/>
        <v>3.125</v>
      </c>
      <c r="BY36" s="857">
        <f t="shared" si="25"/>
        <v>0.64935064935064934</v>
      </c>
      <c r="BZ36" s="857">
        <f t="shared" si="26"/>
        <v>0.1510415625</v>
      </c>
      <c r="CA36" s="857">
        <f t="shared" si="27"/>
        <v>0.18863636363636363</v>
      </c>
      <c r="CB36" s="16">
        <f t="shared" si="28"/>
        <v>1</v>
      </c>
      <c r="CC36" s="16">
        <f t="shared" si="29"/>
        <v>0</v>
      </c>
      <c r="CD36" s="16">
        <f t="shared" si="49"/>
        <v>1</v>
      </c>
      <c r="CE36" s="16">
        <f t="shared" si="50"/>
        <v>0.5</v>
      </c>
      <c r="CF36" s="16" t="e">
        <f>SUM(#REF!/(CC36+CB36))</f>
        <v>#REF!</v>
      </c>
      <c r="CG36" s="19"/>
      <c r="CH36" s="19"/>
      <c r="CI36" s="19"/>
      <c r="CJ36" s="19"/>
      <c r="CV36" s="346">
        <f t="shared" si="35"/>
        <v>1</v>
      </c>
    </row>
    <row r="37" spans="1:100" s="3" customFormat="1" ht="171" x14ac:dyDescent="0.25">
      <c r="A37" s="351" t="s">
        <v>79</v>
      </c>
      <c r="B37" s="351" t="s">
        <v>80</v>
      </c>
      <c r="C37" s="351" t="s">
        <v>81</v>
      </c>
      <c r="D37" s="351" t="s">
        <v>82</v>
      </c>
      <c r="E37" s="351" t="s">
        <v>83</v>
      </c>
      <c r="F37" s="351" t="s">
        <v>84</v>
      </c>
      <c r="G37" s="351" t="s">
        <v>85</v>
      </c>
      <c r="H37" s="351" t="s">
        <v>86</v>
      </c>
      <c r="I37" s="351" t="s">
        <v>87</v>
      </c>
      <c r="J37" s="351" t="s">
        <v>152</v>
      </c>
      <c r="K37" s="368" t="s">
        <v>208</v>
      </c>
      <c r="L37" s="368" t="s">
        <v>89</v>
      </c>
      <c r="M37" s="368" t="s">
        <v>153</v>
      </c>
      <c r="N37" s="367" t="s">
        <v>91</v>
      </c>
      <c r="O37" s="367" t="s">
        <v>154</v>
      </c>
      <c r="P37" s="930">
        <v>39542136.277533107</v>
      </c>
      <c r="Q37" s="368" t="s">
        <v>94</v>
      </c>
      <c r="R37" s="368" t="s">
        <v>156</v>
      </c>
      <c r="S37" s="357">
        <v>3</v>
      </c>
      <c r="T37" s="369" t="s">
        <v>157</v>
      </c>
      <c r="U37" s="357" t="s">
        <v>158</v>
      </c>
      <c r="V37" s="370" t="s">
        <v>98</v>
      </c>
      <c r="W37" s="497" t="s">
        <v>159</v>
      </c>
      <c r="X37" s="432">
        <v>0</v>
      </c>
      <c r="Y37" s="432">
        <v>0.34</v>
      </c>
      <c r="Z37" s="432">
        <v>0.33</v>
      </c>
      <c r="AA37" s="444">
        <v>0.33</v>
      </c>
      <c r="AB37" s="525">
        <v>6.25</v>
      </c>
      <c r="AC37" s="413">
        <v>1.2987012987012987</v>
      </c>
      <c r="AD37" s="413">
        <v>0.30208312500000001</v>
      </c>
      <c r="AE37" s="413">
        <v>0.37727272727272726</v>
      </c>
      <c r="AF37" s="692">
        <f t="shared" si="3"/>
        <v>0</v>
      </c>
      <c r="AG37" s="693" t="s">
        <v>146</v>
      </c>
      <c r="AH37" s="698">
        <v>0</v>
      </c>
      <c r="AI37" s="695"/>
      <c r="AJ37" s="696"/>
      <c r="AK37" s="693"/>
      <c r="AL37" s="692">
        <f t="shared" si="37"/>
        <v>0</v>
      </c>
      <c r="AM37" s="695" t="s">
        <v>121</v>
      </c>
      <c r="AN37" s="693">
        <f t="shared" si="38"/>
        <v>0</v>
      </c>
      <c r="AO37" s="693">
        <f t="shared" si="39"/>
        <v>0</v>
      </c>
      <c r="AP37" s="693">
        <f t="shared" si="40"/>
        <v>0</v>
      </c>
      <c r="AQ37" s="696"/>
      <c r="AR37" s="401">
        <f t="shared" si="36"/>
        <v>0.34</v>
      </c>
      <c r="AS37" s="402" t="s">
        <v>100</v>
      </c>
      <c r="AT37" s="408">
        <f>1/1</f>
        <v>1</v>
      </c>
      <c r="AU37" s="406" t="s">
        <v>332</v>
      </c>
      <c r="AV37" s="404"/>
      <c r="AW37" s="729" t="str">
        <f t="shared" si="51"/>
        <v>ALTO</v>
      </c>
      <c r="AX37" s="397">
        <f t="shared" si="41"/>
        <v>0.34</v>
      </c>
      <c r="AY37" s="400" t="s">
        <v>246</v>
      </c>
      <c r="AZ37" s="398">
        <f t="shared" si="42"/>
        <v>2.125</v>
      </c>
      <c r="BA37" s="398">
        <f t="shared" si="43"/>
        <v>0.44155844155844159</v>
      </c>
      <c r="BB37" s="398">
        <f t="shared" si="44"/>
        <v>0.10270826250000001</v>
      </c>
      <c r="BC37" s="18"/>
      <c r="BD37" s="14">
        <f t="shared" si="45"/>
        <v>0.33</v>
      </c>
      <c r="BE37" s="677" t="s">
        <v>100</v>
      </c>
      <c r="BF37" s="682">
        <f>1/1</f>
        <v>1</v>
      </c>
      <c r="BG37" s="754"/>
      <c r="BH37" s="754"/>
      <c r="BI37" s="658" t="str">
        <f t="shared" si="31"/>
        <v>ALTO</v>
      </c>
      <c r="BJ37" s="681">
        <f t="shared" si="46"/>
        <v>0.33</v>
      </c>
      <c r="BK37" s="680" t="s">
        <v>333</v>
      </c>
      <c r="BL37" s="682">
        <f t="shared" si="19"/>
        <v>5.28E-2</v>
      </c>
      <c r="BM37" s="682">
        <f t="shared" si="20"/>
        <v>0.25409999999999999</v>
      </c>
      <c r="BN37" s="682">
        <f t="shared" si="21"/>
        <v>1.0924145464927908</v>
      </c>
      <c r="BO37" s="754"/>
      <c r="BP37" s="860">
        <v>0.33</v>
      </c>
      <c r="BQ37" s="854" t="s">
        <v>105</v>
      </c>
      <c r="BR37" s="861">
        <v>1</v>
      </c>
      <c r="BS37" s="856" t="s">
        <v>334</v>
      </c>
      <c r="BT37" s="858" t="s">
        <v>335</v>
      </c>
      <c r="BU37" s="905" t="str">
        <f t="shared" si="47"/>
        <v>ALTO</v>
      </c>
      <c r="BV37" s="875">
        <f t="shared" si="48"/>
        <v>0.33</v>
      </c>
      <c r="BW37" s="859" t="s">
        <v>336</v>
      </c>
      <c r="BX37" s="857">
        <f t="shared" si="24"/>
        <v>2.0625</v>
      </c>
      <c r="BY37" s="857">
        <f t="shared" si="25"/>
        <v>0.4285714285714286</v>
      </c>
      <c r="BZ37" s="857">
        <f t="shared" si="26"/>
        <v>9.9687431250000014E-2</v>
      </c>
      <c r="CA37" s="857">
        <f t="shared" si="27"/>
        <v>0.1245</v>
      </c>
      <c r="CB37" s="16">
        <f t="shared" si="28"/>
        <v>0.66</v>
      </c>
      <c r="CC37" s="16">
        <f t="shared" si="29"/>
        <v>0.34</v>
      </c>
      <c r="CD37" s="16">
        <f t="shared" si="49"/>
        <v>1</v>
      </c>
      <c r="CE37" s="16">
        <f t="shared" si="50"/>
        <v>1</v>
      </c>
      <c r="CF37" s="16" t="e">
        <f>SUM(#REF!/(CC37+CB37))</f>
        <v>#REF!</v>
      </c>
      <c r="CG37" s="19"/>
      <c r="CH37" s="19"/>
      <c r="CI37" s="19"/>
      <c r="CJ37" s="19"/>
      <c r="CK37" s="3" t="s">
        <v>165</v>
      </c>
      <c r="CV37" s="346">
        <f t="shared" si="35"/>
        <v>1</v>
      </c>
    </row>
    <row r="38" spans="1:100" s="3" customFormat="1" ht="171" x14ac:dyDescent="0.25">
      <c r="A38" s="351" t="s">
        <v>79</v>
      </c>
      <c r="B38" s="351" t="s">
        <v>80</v>
      </c>
      <c r="C38" s="351" t="s">
        <v>81</v>
      </c>
      <c r="D38" s="351" t="s">
        <v>82</v>
      </c>
      <c r="E38" s="351" t="s">
        <v>83</v>
      </c>
      <c r="F38" s="351" t="s">
        <v>84</v>
      </c>
      <c r="G38" s="351" t="s">
        <v>85</v>
      </c>
      <c r="H38" s="351" t="s">
        <v>86</v>
      </c>
      <c r="I38" s="351" t="s">
        <v>87</v>
      </c>
      <c r="J38" s="351" t="s">
        <v>152</v>
      </c>
      <c r="K38" s="368" t="s">
        <v>208</v>
      </c>
      <c r="L38" s="368" t="s">
        <v>89</v>
      </c>
      <c r="M38" s="368" t="s">
        <v>166</v>
      </c>
      <c r="N38" s="367" t="s">
        <v>91</v>
      </c>
      <c r="O38" s="367" t="s">
        <v>154</v>
      </c>
      <c r="P38" s="930">
        <v>39542136.277533107</v>
      </c>
      <c r="Q38" s="368" t="s">
        <v>94</v>
      </c>
      <c r="R38" s="368" t="s">
        <v>156</v>
      </c>
      <c r="S38" s="368">
        <v>3</v>
      </c>
      <c r="T38" s="374" t="s">
        <v>167</v>
      </c>
      <c r="U38" s="368" t="s">
        <v>168</v>
      </c>
      <c r="V38" s="368" t="s">
        <v>98</v>
      </c>
      <c r="W38" s="499" t="s">
        <v>337</v>
      </c>
      <c r="X38" s="438">
        <v>0</v>
      </c>
      <c r="Y38" s="438">
        <v>0.33</v>
      </c>
      <c r="Z38" s="438">
        <v>0.33</v>
      </c>
      <c r="AA38" s="519">
        <v>0.34</v>
      </c>
      <c r="AB38" s="525">
        <v>6.25</v>
      </c>
      <c r="AC38" s="413">
        <v>1.2987012987012987</v>
      </c>
      <c r="AD38" s="413">
        <v>0.30208312500000001</v>
      </c>
      <c r="AE38" s="413">
        <v>0.37727272727272726</v>
      </c>
      <c r="AF38" s="692">
        <f t="shared" si="3"/>
        <v>0</v>
      </c>
      <c r="AG38" s="693" t="s">
        <v>146</v>
      </c>
      <c r="AH38" s="698">
        <v>0</v>
      </c>
      <c r="AI38" s="695"/>
      <c r="AJ38" s="696"/>
      <c r="AK38" s="693"/>
      <c r="AL38" s="692">
        <f t="shared" si="37"/>
        <v>0</v>
      </c>
      <c r="AM38" s="695" t="s">
        <v>121</v>
      </c>
      <c r="AN38" s="693">
        <f t="shared" si="38"/>
        <v>0</v>
      </c>
      <c r="AO38" s="693">
        <f t="shared" si="39"/>
        <v>0</v>
      </c>
      <c r="AP38" s="693">
        <f t="shared" si="40"/>
        <v>0</v>
      </c>
      <c r="AQ38" s="696"/>
      <c r="AR38" s="401">
        <f t="shared" si="36"/>
        <v>0.33</v>
      </c>
      <c r="AS38" s="402" t="s">
        <v>100</v>
      </c>
      <c r="AT38" s="405">
        <f>1/1</f>
        <v>1</v>
      </c>
      <c r="AU38" s="406"/>
      <c r="AV38" s="404"/>
      <c r="AW38" s="729" t="str">
        <f t="shared" si="51"/>
        <v>ALTO</v>
      </c>
      <c r="AX38" s="397">
        <f t="shared" si="41"/>
        <v>0.33</v>
      </c>
      <c r="AY38" s="400" t="s">
        <v>338</v>
      </c>
      <c r="AZ38" s="398">
        <f t="shared" si="42"/>
        <v>2.0625</v>
      </c>
      <c r="BA38" s="398">
        <f t="shared" si="43"/>
        <v>0.4285714285714286</v>
      </c>
      <c r="BB38" s="398">
        <f t="shared" si="44"/>
        <v>9.9687431250000014E-2</v>
      </c>
      <c r="BC38" s="18"/>
      <c r="BD38" s="14">
        <f t="shared" si="45"/>
        <v>0.33</v>
      </c>
      <c r="BE38" s="677" t="s">
        <v>100</v>
      </c>
      <c r="BF38" s="681">
        <v>0</v>
      </c>
      <c r="BG38" s="754"/>
      <c r="BH38" s="754"/>
      <c r="BI38" s="658" t="str">
        <f t="shared" si="31"/>
        <v>BAJO</v>
      </c>
      <c r="BJ38" s="681">
        <f t="shared" si="46"/>
        <v>0</v>
      </c>
      <c r="BK38" s="680" t="s">
        <v>339</v>
      </c>
      <c r="BL38" s="682">
        <f t="shared" si="19"/>
        <v>0</v>
      </c>
      <c r="BM38" s="682">
        <f t="shared" si="20"/>
        <v>0</v>
      </c>
      <c r="BN38" s="682">
        <f t="shared" si="21"/>
        <v>0</v>
      </c>
      <c r="BO38" s="754"/>
      <c r="BP38" s="860">
        <v>0.34</v>
      </c>
      <c r="BQ38" s="854" t="s">
        <v>105</v>
      </c>
      <c r="BR38" s="861">
        <v>0.5</v>
      </c>
      <c r="BS38" s="856" t="s">
        <v>340</v>
      </c>
      <c r="BT38" s="858" t="s">
        <v>335</v>
      </c>
      <c r="BU38" s="907" t="str">
        <f t="shared" si="47"/>
        <v>BAJO</v>
      </c>
      <c r="BV38" s="875">
        <f t="shared" si="48"/>
        <v>0.17</v>
      </c>
      <c r="BW38" s="863" t="s">
        <v>341</v>
      </c>
      <c r="BX38" s="857">
        <f t="shared" si="24"/>
        <v>1.0625</v>
      </c>
      <c r="BY38" s="857">
        <f t="shared" si="25"/>
        <v>0.2207792207792208</v>
      </c>
      <c r="BZ38" s="857">
        <f t="shared" si="26"/>
        <v>5.1354131250000004E-2</v>
      </c>
      <c r="CA38" s="857">
        <f t="shared" si="27"/>
        <v>6.4136363636363644E-2</v>
      </c>
      <c r="CB38" s="16">
        <f t="shared" si="28"/>
        <v>0.67</v>
      </c>
      <c r="CC38" s="16">
        <f t="shared" si="29"/>
        <v>0.33</v>
      </c>
      <c r="CD38" s="16">
        <f t="shared" si="49"/>
        <v>1</v>
      </c>
      <c r="CE38" s="16">
        <f t="shared" si="50"/>
        <v>0.5</v>
      </c>
      <c r="CF38" s="16" t="e">
        <f>SUM(#REF!/(CC38+CB38))</f>
        <v>#REF!</v>
      </c>
      <c r="CG38" s="19"/>
      <c r="CH38" s="19"/>
      <c r="CI38" s="19"/>
      <c r="CJ38" s="19"/>
      <c r="CK38" s="3" t="s">
        <v>165</v>
      </c>
      <c r="CV38" s="346">
        <f t="shared" si="35"/>
        <v>1</v>
      </c>
    </row>
    <row r="39" spans="1:100" s="3" customFormat="1" ht="171" x14ac:dyDescent="0.25">
      <c r="A39" s="351" t="s">
        <v>79</v>
      </c>
      <c r="B39" s="351" t="s">
        <v>80</v>
      </c>
      <c r="C39" s="351" t="s">
        <v>81</v>
      </c>
      <c r="D39" s="351" t="s">
        <v>82</v>
      </c>
      <c r="E39" s="351" t="s">
        <v>83</v>
      </c>
      <c r="F39" s="351" t="s">
        <v>84</v>
      </c>
      <c r="G39" s="351" t="s">
        <v>85</v>
      </c>
      <c r="H39" s="351" t="s">
        <v>86</v>
      </c>
      <c r="I39" s="351" t="s">
        <v>87</v>
      </c>
      <c r="J39" s="351" t="s">
        <v>152</v>
      </c>
      <c r="K39" s="368" t="s">
        <v>208</v>
      </c>
      <c r="L39" s="368" t="s">
        <v>89</v>
      </c>
      <c r="M39" s="368" t="s">
        <v>174</v>
      </c>
      <c r="N39" s="367" t="s">
        <v>91</v>
      </c>
      <c r="O39" s="367" t="s">
        <v>154</v>
      </c>
      <c r="P39" s="930">
        <v>39542136.277533107</v>
      </c>
      <c r="Q39" s="368" t="s">
        <v>94</v>
      </c>
      <c r="R39" s="368" t="s">
        <v>156</v>
      </c>
      <c r="S39" s="368">
        <v>3</v>
      </c>
      <c r="T39" s="373" t="s">
        <v>175</v>
      </c>
      <c r="U39" s="368" t="s">
        <v>176</v>
      </c>
      <c r="V39" s="368" t="s">
        <v>98</v>
      </c>
      <c r="W39" s="499" t="s">
        <v>342</v>
      </c>
      <c r="X39" s="438">
        <v>0</v>
      </c>
      <c r="Y39" s="438">
        <v>0.33</v>
      </c>
      <c r="Z39" s="438">
        <v>0.33</v>
      </c>
      <c r="AA39" s="519">
        <v>0.34</v>
      </c>
      <c r="AB39" s="525">
        <v>6.25</v>
      </c>
      <c r="AC39" s="413">
        <v>1.2987012987012987</v>
      </c>
      <c r="AD39" s="413">
        <v>0.30208312500000001</v>
      </c>
      <c r="AE39" s="413">
        <v>0.37727272727272726</v>
      </c>
      <c r="AF39" s="692">
        <f t="shared" si="3"/>
        <v>0</v>
      </c>
      <c r="AG39" s="693" t="s">
        <v>146</v>
      </c>
      <c r="AH39" s="698">
        <v>0</v>
      </c>
      <c r="AI39" s="695"/>
      <c r="AJ39" s="696"/>
      <c r="AK39" s="693"/>
      <c r="AL39" s="692">
        <f t="shared" si="37"/>
        <v>0</v>
      </c>
      <c r="AM39" s="695" t="s">
        <v>121</v>
      </c>
      <c r="AN39" s="693">
        <f t="shared" si="38"/>
        <v>0</v>
      </c>
      <c r="AO39" s="693">
        <f t="shared" si="39"/>
        <v>0</v>
      </c>
      <c r="AP39" s="693">
        <f t="shared" si="40"/>
        <v>0</v>
      </c>
      <c r="AQ39" s="696"/>
      <c r="AR39" s="401">
        <f t="shared" si="36"/>
        <v>0.33</v>
      </c>
      <c r="AS39" s="402" t="s">
        <v>100</v>
      </c>
      <c r="AT39" s="408">
        <v>0</v>
      </c>
      <c r="AU39" s="406"/>
      <c r="AV39" s="404"/>
      <c r="AW39" s="729" t="str">
        <f t="shared" si="51"/>
        <v>BAJO</v>
      </c>
      <c r="AX39" s="397">
        <f t="shared" si="41"/>
        <v>0</v>
      </c>
      <c r="AY39" s="400" t="s">
        <v>343</v>
      </c>
      <c r="AZ39" s="398">
        <f t="shared" si="42"/>
        <v>0</v>
      </c>
      <c r="BA39" s="398">
        <f t="shared" si="43"/>
        <v>0</v>
      </c>
      <c r="BB39" s="398">
        <f t="shared" si="44"/>
        <v>0</v>
      </c>
      <c r="BC39" s="18"/>
      <c r="BD39" s="14">
        <f t="shared" si="45"/>
        <v>0.33</v>
      </c>
      <c r="BE39" s="677" t="s">
        <v>100</v>
      </c>
      <c r="BF39" s="681">
        <f>1/1</f>
        <v>1</v>
      </c>
      <c r="BG39" s="754"/>
      <c r="BH39" s="754"/>
      <c r="BI39" s="658" t="str">
        <f t="shared" si="31"/>
        <v>ALTO</v>
      </c>
      <c r="BJ39" s="681">
        <f t="shared" si="46"/>
        <v>0.33</v>
      </c>
      <c r="BK39" s="680" t="s">
        <v>344</v>
      </c>
      <c r="BL39" s="682">
        <f t="shared" si="19"/>
        <v>5.28E-2</v>
      </c>
      <c r="BM39" s="682">
        <f t="shared" si="20"/>
        <v>0.25409999999999999</v>
      </c>
      <c r="BN39" s="682">
        <f t="shared" si="21"/>
        <v>1.0924145464927908</v>
      </c>
      <c r="BO39" s="754"/>
      <c r="BP39" s="860">
        <v>0.34</v>
      </c>
      <c r="BQ39" s="854" t="s">
        <v>105</v>
      </c>
      <c r="BR39" s="855">
        <v>1</v>
      </c>
      <c r="BS39" s="856" t="s">
        <v>345</v>
      </c>
      <c r="BT39" s="858" t="s">
        <v>335</v>
      </c>
      <c r="BU39" s="905" t="str">
        <f t="shared" si="47"/>
        <v>ALTO</v>
      </c>
      <c r="BV39" s="875">
        <f t="shared" si="48"/>
        <v>0.34</v>
      </c>
      <c r="BW39" s="859" t="s">
        <v>180</v>
      </c>
      <c r="BX39" s="857">
        <f t="shared" si="24"/>
        <v>2.125</v>
      </c>
      <c r="BY39" s="857">
        <f t="shared" si="25"/>
        <v>0.44155844155844159</v>
      </c>
      <c r="BZ39" s="857">
        <f t="shared" si="26"/>
        <v>0.10270826250000001</v>
      </c>
      <c r="CA39" s="857">
        <f t="shared" si="27"/>
        <v>0.12827272727272729</v>
      </c>
      <c r="CB39" s="16">
        <f t="shared" si="28"/>
        <v>0.67</v>
      </c>
      <c r="CC39" s="16">
        <f t="shared" si="29"/>
        <v>0.33</v>
      </c>
      <c r="CD39" s="16">
        <f t="shared" si="49"/>
        <v>1</v>
      </c>
      <c r="CE39" s="16">
        <f t="shared" si="50"/>
        <v>0.67</v>
      </c>
      <c r="CF39" s="16" t="e">
        <f>SUM(#REF!/(CC39+CB39))</f>
        <v>#REF!</v>
      </c>
      <c r="CG39" s="19"/>
      <c r="CH39" s="19"/>
      <c r="CI39" s="19"/>
      <c r="CJ39" s="19"/>
      <c r="CK39" s="3" t="s">
        <v>165</v>
      </c>
      <c r="CV39" s="346">
        <f t="shared" si="35"/>
        <v>1</v>
      </c>
    </row>
    <row r="40" spans="1:100" s="3" customFormat="1" ht="171" x14ac:dyDescent="0.25">
      <c r="A40" s="351" t="s">
        <v>79</v>
      </c>
      <c r="B40" s="351" t="s">
        <v>80</v>
      </c>
      <c r="C40" s="351" t="s">
        <v>81</v>
      </c>
      <c r="D40" s="351" t="s">
        <v>82</v>
      </c>
      <c r="E40" s="351" t="s">
        <v>83</v>
      </c>
      <c r="F40" s="351" t="s">
        <v>84</v>
      </c>
      <c r="G40" s="351" t="s">
        <v>85</v>
      </c>
      <c r="H40" s="351" t="s">
        <v>86</v>
      </c>
      <c r="I40" s="351" t="s">
        <v>87</v>
      </c>
      <c r="J40" s="351" t="s">
        <v>152</v>
      </c>
      <c r="K40" s="368" t="s">
        <v>208</v>
      </c>
      <c r="L40" s="368" t="s">
        <v>89</v>
      </c>
      <c r="M40" s="368" t="s">
        <v>181</v>
      </c>
      <c r="N40" s="367" t="s">
        <v>91</v>
      </c>
      <c r="O40" s="367" t="s">
        <v>154</v>
      </c>
      <c r="P40" s="930">
        <v>39542136.277533107</v>
      </c>
      <c r="Q40" s="368" t="s">
        <v>94</v>
      </c>
      <c r="R40" s="368" t="s">
        <v>156</v>
      </c>
      <c r="S40" s="375">
        <v>1</v>
      </c>
      <c r="T40" s="372" t="s">
        <v>346</v>
      </c>
      <c r="U40" s="368" t="s">
        <v>347</v>
      </c>
      <c r="V40" s="368" t="s">
        <v>98</v>
      </c>
      <c r="W40" s="499" t="s">
        <v>348</v>
      </c>
      <c r="X40" s="438">
        <v>0</v>
      </c>
      <c r="Y40" s="438">
        <v>0</v>
      </c>
      <c r="Z40" s="438">
        <v>0.5</v>
      </c>
      <c r="AA40" s="519">
        <v>0.5</v>
      </c>
      <c r="AB40" s="525">
        <v>6.25</v>
      </c>
      <c r="AC40" s="413">
        <v>1.2987012987012987</v>
      </c>
      <c r="AD40" s="413">
        <v>0.30208312500000001</v>
      </c>
      <c r="AE40" s="413">
        <v>0.37727272727272726</v>
      </c>
      <c r="AF40" s="692">
        <f t="shared" si="3"/>
        <v>0</v>
      </c>
      <c r="AG40" s="693" t="s">
        <v>146</v>
      </c>
      <c r="AH40" s="698">
        <v>0</v>
      </c>
      <c r="AI40" s="695"/>
      <c r="AJ40" s="696"/>
      <c r="AK40" s="693"/>
      <c r="AL40" s="692">
        <f t="shared" si="37"/>
        <v>0</v>
      </c>
      <c r="AM40" s="695" t="s">
        <v>121</v>
      </c>
      <c r="AN40" s="693">
        <f t="shared" si="38"/>
        <v>0</v>
      </c>
      <c r="AO40" s="693">
        <f t="shared" si="39"/>
        <v>0</v>
      </c>
      <c r="AP40" s="693">
        <f t="shared" si="40"/>
        <v>0</v>
      </c>
      <c r="AQ40" s="696"/>
      <c r="AR40" s="401">
        <f t="shared" si="36"/>
        <v>0</v>
      </c>
      <c r="AS40" s="402" t="s">
        <v>146</v>
      </c>
      <c r="AT40" s="408">
        <v>0</v>
      </c>
      <c r="AU40" s="406"/>
      <c r="AV40" s="404"/>
      <c r="AW40" s="729"/>
      <c r="AX40" s="397">
        <f t="shared" si="41"/>
        <v>0</v>
      </c>
      <c r="AY40" s="400" t="s">
        <v>121</v>
      </c>
      <c r="AZ40" s="398">
        <f t="shared" si="42"/>
        <v>0</v>
      </c>
      <c r="BA40" s="398">
        <f t="shared" si="43"/>
        <v>0</v>
      </c>
      <c r="BB40" s="398">
        <f t="shared" si="44"/>
        <v>0</v>
      </c>
      <c r="BC40" s="18"/>
      <c r="BD40" s="14">
        <f t="shared" si="45"/>
        <v>0.5</v>
      </c>
      <c r="BE40" s="677" t="s">
        <v>100</v>
      </c>
      <c r="BF40" s="681">
        <v>0</v>
      </c>
      <c r="BG40" s="754"/>
      <c r="BH40" s="754"/>
      <c r="BI40" s="658" t="str">
        <f t="shared" si="31"/>
        <v>BAJO</v>
      </c>
      <c r="BJ40" s="681">
        <f t="shared" si="46"/>
        <v>0</v>
      </c>
      <c r="BK40" s="754" t="s">
        <v>349</v>
      </c>
      <c r="BL40" s="682">
        <f t="shared" si="19"/>
        <v>0</v>
      </c>
      <c r="BM40" s="682">
        <f t="shared" si="20"/>
        <v>0</v>
      </c>
      <c r="BN40" s="682">
        <f t="shared" si="21"/>
        <v>0</v>
      </c>
      <c r="BO40" s="754"/>
      <c r="BP40" s="860">
        <v>0.5</v>
      </c>
      <c r="BQ40" s="854" t="s">
        <v>105</v>
      </c>
      <c r="BR40" s="861">
        <v>1</v>
      </c>
      <c r="BS40" s="856"/>
      <c r="BT40" s="858"/>
      <c r="BU40" s="905" t="str">
        <f t="shared" si="47"/>
        <v>ALTO</v>
      </c>
      <c r="BV40" s="875">
        <f t="shared" si="48"/>
        <v>0.5</v>
      </c>
      <c r="BW40" s="863" t="s">
        <v>350</v>
      </c>
      <c r="BX40" s="857">
        <f t="shared" si="24"/>
        <v>3.125</v>
      </c>
      <c r="BY40" s="857">
        <f t="shared" si="25"/>
        <v>0.64935064935064934</v>
      </c>
      <c r="BZ40" s="857">
        <f t="shared" si="26"/>
        <v>0.1510415625</v>
      </c>
      <c r="CA40" s="857">
        <f t="shared" si="27"/>
        <v>0.18863636363636363</v>
      </c>
      <c r="CB40" s="16">
        <f t="shared" si="28"/>
        <v>1</v>
      </c>
      <c r="CC40" s="16">
        <f t="shared" si="29"/>
        <v>0</v>
      </c>
      <c r="CD40" s="16">
        <f t="shared" si="49"/>
        <v>1</v>
      </c>
      <c r="CE40" s="16">
        <f t="shared" si="50"/>
        <v>0.5</v>
      </c>
      <c r="CF40" s="16" t="e">
        <f>SUM(#REF!/(CC40+CB40))</f>
        <v>#REF!</v>
      </c>
      <c r="CG40" s="19"/>
      <c r="CH40" s="19"/>
      <c r="CI40" s="19"/>
      <c r="CJ40" s="19"/>
      <c r="CK40" s="3" t="s">
        <v>165</v>
      </c>
      <c r="CV40" s="346">
        <f t="shared" si="35"/>
        <v>1</v>
      </c>
    </row>
    <row r="41" spans="1:100" s="3" customFormat="1" ht="228" x14ac:dyDescent="0.25">
      <c r="A41" s="351" t="s">
        <v>79</v>
      </c>
      <c r="B41" s="351" t="s">
        <v>80</v>
      </c>
      <c r="C41" s="351" t="s">
        <v>81</v>
      </c>
      <c r="D41" s="351" t="s">
        <v>82</v>
      </c>
      <c r="E41" s="351" t="s">
        <v>83</v>
      </c>
      <c r="F41" s="351" t="s">
        <v>84</v>
      </c>
      <c r="G41" s="351" t="s">
        <v>85</v>
      </c>
      <c r="H41" s="351" t="s">
        <v>86</v>
      </c>
      <c r="I41" s="351" t="s">
        <v>87</v>
      </c>
      <c r="J41" s="351" t="s">
        <v>152</v>
      </c>
      <c r="K41" s="368" t="s">
        <v>208</v>
      </c>
      <c r="L41" s="368" t="s">
        <v>89</v>
      </c>
      <c r="M41" s="368" t="s">
        <v>190</v>
      </c>
      <c r="N41" s="367" t="s">
        <v>91</v>
      </c>
      <c r="O41" s="367" t="s">
        <v>154</v>
      </c>
      <c r="P41" s="930">
        <v>39542136.277533107</v>
      </c>
      <c r="Q41" s="368" t="s">
        <v>94</v>
      </c>
      <c r="R41" s="368" t="s">
        <v>156</v>
      </c>
      <c r="S41" s="511">
        <v>1</v>
      </c>
      <c r="T41" s="475" t="s">
        <v>191</v>
      </c>
      <c r="U41" s="475" t="s">
        <v>158</v>
      </c>
      <c r="V41" s="489" t="s">
        <v>98</v>
      </c>
      <c r="W41" s="496" t="s">
        <v>192</v>
      </c>
      <c r="X41" s="446">
        <v>0</v>
      </c>
      <c r="Y41" s="447">
        <v>0</v>
      </c>
      <c r="Z41" s="447">
        <v>0.34</v>
      </c>
      <c r="AA41" s="517">
        <v>0.66</v>
      </c>
      <c r="AB41" s="525">
        <v>6.25</v>
      </c>
      <c r="AC41" s="413">
        <v>1.2987012987012987</v>
      </c>
      <c r="AD41" s="413">
        <v>0.30208312500000001</v>
      </c>
      <c r="AE41" s="413">
        <v>0.37727272727272726</v>
      </c>
      <c r="AF41" s="692">
        <f t="shared" si="3"/>
        <v>0</v>
      </c>
      <c r="AG41" s="693" t="s">
        <v>146</v>
      </c>
      <c r="AH41" s="698">
        <v>0</v>
      </c>
      <c r="AI41" s="695"/>
      <c r="AJ41" s="696"/>
      <c r="AK41" s="693"/>
      <c r="AL41" s="692">
        <f t="shared" si="37"/>
        <v>0</v>
      </c>
      <c r="AM41" s="695" t="s">
        <v>121</v>
      </c>
      <c r="AN41" s="693">
        <f t="shared" si="38"/>
        <v>0</v>
      </c>
      <c r="AO41" s="693">
        <f t="shared" si="39"/>
        <v>0</v>
      </c>
      <c r="AP41" s="693">
        <f t="shared" si="40"/>
        <v>0</v>
      </c>
      <c r="AQ41" s="696"/>
      <c r="AR41" s="401">
        <f t="shared" si="36"/>
        <v>0</v>
      </c>
      <c r="AS41" s="402" t="s">
        <v>146</v>
      </c>
      <c r="AT41" s="408">
        <v>0</v>
      </c>
      <c r="AU41" s="406"/>
      <c r="AV41" s="404"/>
      <c r="AW41" s="729"/>
      <c r="AX41" s="397">
        <f t="shared" si="41"/>
        <v>0</v>
      </c>
      <c r="AY41" s="400"/>
      <c r="AZ41" s="398">
        <f t="shared" si="42"/>
        <v>0</v>
      </c>
      <c r="BA41" s="398">
        <f t="shared" si="43"/>
        <v>0</v>
      </c>
      <c r="BB41" s="398">
        <f t="shared" si="44"/>
        <v>0</v>
      </c>
      <c r="BC41" s="18"/>
      <c r="BD41" s="14">
        <f t="shared" si="45"/>
        <v>0.34</v>
      </c>
      <c r="BE41" s="677" t="s">
        <v>100</v>
      </c>
      <c r="BF41" s="682">
        <v>0</v>
      </c>
      <c r="BG41" s="680" t="s">
        <v>351</v>
      </c>
      <c r="BH41" s="754"/>
      <c r="BI41" s="658" t="str">
        <f t="shared" si="31"/>
        <v>BAJO</v>
      </c>
      <c r="BJ41" s="681">
        <f t="shared" si="46"/>
        <v>0</v>
      </c>
      <c r="BK41" s="754" t="s">
        <v>349</v>
      </c>
      <c r="BL41" s="682">
        <f t="shared" si="19"/>
        <v>0</v>
      </c>
      <c r="BM41" s="682">
        <f t="shared" si="20"/>
        <v>0</v>
      </c>
      <c r="BN41" s="682">
        <f t="shared" si="21"/>
        <v>0</v>
      </c>
      <c r="BO41" s="754"/>
      <c r="BP41" s="860">
        <v>0.66</v>
      </c>
      <c r="BQ41" s="854" t="s">
        <v>105</v>
      </c>
      <c r="BR41" s="861">
        <v>1</v>
      </c>
      <c r="BS41" s="856"/>
      <c r="BT41" s="858"/>
      <c r="BU41" s="905" t="str">
        <f t="shared" si="47"/>
        <v>ALTO</v>
      </c>
      <c r="BV41" s="875">
        <f t="shared" si="48"/>
        <v>0.66</v>
      </c>
      <c r="BW41" s="863" t="s">
        <v>352</v>
      </c>
      <c r="BX41" s="857">
        <f t="shared" si="24"/>
        <v>4.125</v>
      </c>
      <c r="BY41" s="857">
        <f t="shared" si="25"/>
        <v>0.85714285714285721</v>
      </c>
      <c r="BZ41" s="857">
        <f t="shared" si="26"/>
        <v>0.19937486250000003</v>
      </c>
      <c r="CA41" s="857">
        <f t="shared" si="27"/>
        <v>0.249</v>
      </c>
      <c r="CB41" s="16">
        <f t="shared" si="28"/>
        <v>1</v>
      </c>
      <c r="CC41" s="16">
        <f t="shared" si="29"/>
        <v>0</v>
      </c>
      <c r="CD41" s="16">
        <f t="shared" si="49"/>
        <v>1</v>
      </c>
      <c r="CE41" s="16">
        <f t="shared" si="50"/>
        <v>0.66</v>
      </c>
      <c r="CF41" s="16" t="e">
        <f>SUM(#REF!/(CC41+CB41))</f>
        <v>#REF!</v>
      </c>
      <c r="CG41" s="19"/>
      <c r="CH41" s="19"/>
      <c r="CI41" s="19"/>
      <c r="CJ41" s="19"/>
      <c r="CK41" s="3" t="s">
        <v>165</v>
      </c>
      <c r="CV41" s="346">
        <f t="shared" si="35"/>
        <v>1</v>
      </c>
    </row>
    <row r="42" spans="1:100" s="3" customFormat="1" ht="242.25" x14ac:dyDescent="0.25">
      <c r="A42" s="351" t="s">
        <v>79</v>
      </c>
      <c r="B42" s="351" t="s">
        <v>80</v>
      </c>
      <c r="C42" s="351" t="s">
        <v>81</v>
      </c>
      <c r="D42" s="351" t="s">
        <v>82</v>
      </c>
      <c r="E42" s="351" t="s">
        <v>83</v>
      </c>
      <c r="F42" s="351" t="s">
        <v>84</v>
      </c>
      <c r="G42" s="351" t="s">
        <v>85</v>
      </c>
      <c r="H42" s="351" t="s">
        <v>86</v>
      </c>
      <c r="I42" s="351" t="s">
        <v>87</v>
      </c>
      <c r="J42" s="351" t="s">
        <v>88</v>
      </c>
      <c r="K42" s="368" t="s">
        <v>208</v>
      </c>
      <c r="L42" s="368" t="s">
        <v>89</v>
      </c>
      <c r="M42" s="368" t="s">
        <v>195</v>
      </c>
      <c r="N42" s="367" t="s">
        <v>91</v>
      </c>
      <c r="O42" s="367" t="s">
        <v>154</v>
      </c>
      <c r="P42" s="930">
        <v>39542136.277533107</v>
      </c>
      <c r="Q42" s="368" t="s">
        <v>94</v>
      </c>
      <c r="R42" s="368" t="s">
        <v>156</v>
      </c>
      <c r="S42" s="357">
        <v>7</v>
      </c>
      <c r="T42" s="369" t="s">
        <v>196</v>
      </c>
      <c r="U42" s="357" t="s">
        <v>158</v>
      </c>
      <c r="V42" s="370" t="s">
        <v>98</v>
      </c>
      <c r="W42" s="497" t="s">
        <v>197</v>
      </c>
      <c r="X42" s="432">
        <v>0</v>
      </c>
      <c r="Y42" s="432">
        <f>1/7</f>
        <v>0.14285714285714285</v>
      </c>
      <c r="Z42" s="432">
        <f>3/7</f>
        <v>0.42857142857142855</v>
      </c>
      <c r="AA42" s="444">
        <f>3/7</f>
        <v>0.42857142857142855</v>
      </c>
      <c r="AB42" s="525">
        <v>6.25</v>
      </c>
      <c r="AC42" s="413">
        <v>1.2987012987012987</v>
      </c>
      <c r="AD42" s="413">
        <v>0.30208312500000001</v>
      </c>
      <c r="AE42" s="413">
        <v>0.37727272727272726</v>
      </c>
      <c r="AF42" s="692">
        <f t="shared" si="3"/>
        <v>0</v>
      </c>
      <c r="AG42" s="693" t="s">
        <v>146</v>
      </c>
      <c r="AH42" s="698">
        <v>0</v>
      </c>
      <c r="AI42" s="696"/>
      <c r="AJ42" s="696"/>
      <c r="AK42" s="693"/>
      <c r="AL42" s="692">
        <f t="shared" si="37"/>
        <v>0</v>
      </c>
      <c r="AM42" s="695" t="s">
        <v>121</v>
      </c>
      <c r="AN42" s="693">
        <f t="shared" si="38"/>
        <v>0</v>
      </c>
      <c r="AO42" s="693">
        <f t="shared" si="39"/>
        <v>0</v>
      </c>
      <c r="AP42" s="693">
        <f t="shared" si="40"/>
        <v>0</v>
      </c>
      <c r="AQ42" s="696"/>
      <c r="AR42" s="401">
        <f t="shared" si="36"/>
        <v>0.14285714285714285</v>
      </c>
      <c r="AS42" s="402" t="s">
        <v>100</v>
      </c>
      <c r="AT42" s="405">
        <v>0</v>
      </c>
      <c r="AU42" s="406"/>
      <c r="AV42" s="404"/>
      <c r="AW42" s="729" t="str">
        <f t="shared" si="51"/>
        <v>BAJO</v>
      </c>
      <c r="AX42" s="397">
        <f t="shared" si="41"/>
        <v>0</v>
      </c>
      <c r="AY42" s="400" t="s">
        <v>353</v>
      </c>
      <c r="AZ42" s="398">
        <f t="shared" si="42"/>
        <v>0</v>
      </c>
      <c r="BA42" s="398">
        <f t="shared" si="43"/>
        <v>0</v>
      </c>
      <c r="BB42" s="398">
        <f t="shared" si="44"/>
        <v>0</v>
      </c>
      <c r="BC42" s="18"/>
      <c r="BD42" s="14">
        <f t="shared" si="45"/>
        <v>0.42857142857142855</v>
      </c>
      <c r="BE42" s="677" t="s">
        <v>100</v>
      </c>
      <c r="BF42" s="681">
        <v>0</v>
      </c>
      <c r="BG42" s="754"/>
      <c r="BH42" s="754"/>
      <c r="BI42" s="658" t="str">
        <f t="shared" si="31"/>
        <v>BAJO</v>
      </c>
      <c r="BJ42" s="681">
        <f t="shared" si="46"/>
        <v>0</v>
      </c>
      <c r="BK42" s="754" t="s">
        <v>349</v>
      </c>
      <c r="BL42" s="682">
        <f t="shared" si="19"/>
        <v>0</v>
      </c>
      <c r="BM42" s="682">
        <f t="shared" si="20"/>
        <v>0</v>
      </c>
      <c r="BN42" s="682">
        <f t="shared" si="21"/>
        <v>0</v>
      </c>
      <c r="BO42" s="754"/>
      <c r="BP42" s="860">
        <v>0.43</v>
      </c>
      <c r="BQ42" s="854" t="s">
        <v>105</v>
      </c>
      <c r="BR42" s="861">
        <v>0</v>
      </c>
      <c r="BS42" s="856"/>
      <c r="BT42" s="858"/>
      <c r="BU42" s="907" t="str">
        <f t="shared" si="47"/>
        <v>BAJO</v>
      </c>
      <c r="BV42" s="875">
        <f t="shared" si="48"/>
        <v>0</v>
      </c>
      <c r="BW42" s="863" t="s">
        <v>354</v>
      </c>
      <c r="BX42" s="857">
        <f t="shared" si="24"/>
        <v>0</v>
      </c>
      <c r="BY42" s="857">
        <f t="shared" si="25"/>
        <v>0</v>
      </c>
      <c r="BZ42" s="857">
        <f t="shared" si="26"/>
        <v>0</v>
      </c>
      <c r="CA42" s="857">
        <f t="shared" si="27"/>
        <v>0</v>
      </c>
      <c r="CB42" s="16">
        <f t="shared" si="28"/>
        <v>0.85857142857142854</v>
      </c>
      <c r="CC42" s="16">
        <f t="shared" si="29"/>
        <v>0.14285714285714285</v>
      </c>
      <c r="CD42" s="16">
        <f t="shared" si="49"/>
        <v>1</v>
      </c>
      <c r="CE42" s="16">
        <f t="shared" si="50"/>
        <v>0</v>
      </c>
      <c r="CF42" s="16" t="e">
        <f>SUM(#REF!/(CC42+CB42))</f>
        <v>#REF!</v>
      </c>
      <c r="CG42" s="19"/>
      <c r="CH42" s="19"/>
      <c r="CI42" s="19"/>
      <c r="CJ42" s="19"/>
      <c r="CK42" s="3" t="s">
        <v>165</v>
      </c>
      <c r="CV42" s="346">
        <f t="shared" si="35"/>
        <v>1</v>
      </c>
    </row>
    <row r="43" spans="1:100" s="3" customFormat="1" ht="242.25" x14ac:dyDescent="0.25">
      <c r="A43" s="351" t="s">
        <v>79</v>
      </c>
      <c r="B43" s="351" t="s">
        <v>80</v>
      </c>
      <c r="C43" s="351" t="s">
        <v>81</v>
      </c>
      <c r="D43" s="351" t="s">
        <v>82</v>
      </c>
      <c r="E43" s="351" t="s">
        <v>83</v>
      </c>
      <c r="F43" s="351" t="s">
        <v>84</v>
      </c>
      <c r="G43" s="351" t="s">
        <v>85</v>
      </c>
      <c r="H43" s="351" t="s">
        <v>86</v>
      </c>
      <c r="I43" s="351" t="s">
        <v>87</v>
      </c>
      <c r="J43" s="351" t="s">
        <v>88</v>
      </c>
      <c r="K43" s="368" t="s">
        <v>208</v>
      </c>
      <c r="L43" s="368" t="s">
        <v>89</v>
      </c>
      <c r="M43" s="368" t="s">
        <v>201</v>
      </c>
      <c r="N43" s="367" t="s">
        <v>91</v>
      </c>
      <c r="O43" s="367" t="s">
        <v>202</v>
      </c>
      <c r="P43" s="930">
        <v>39542136.277533107</v>
      </c>
      <c r="Q43" s="368" t="s">
        <v>94</v>
      </c>
      <c r="R43" s="368" t="s">
        <v>156</v>
      </c>
      <c r="S43" s="375">
        <v>1</v>
      </c>
      <c r="T43" s="372" t="s">
        <v>201</v>
      </c>
      <c r="U43" s="368" t="s">
        <v>204</v>
      </c>
      <c r="V43" s="368" t="s">
        <v>98</v>
      </c>
      <c r="W43" s="499" t="s">
        <v>205</v>
      </c>
      <c r="X43" s="438">
        <v>0</v>
      </c>
      <c r="Y43" s="438">
        <v>0</v>
      </c>
      <c r="Z43" s="438">
        <v>0</v>
      </c>
      <c r="AA43" s="519">
        <v>1</v>
      </c>
      <c r="AB43" s="525">
        <v>6.25</v>
      </c>
      <c r="AC43" s="413">
        <v>1.2987012987012987</v>
      </c>
      <c r="AD43" s="413">
        <v>0.30208312500000001</v>
      </c>
      <c r="AE43" s="413">
        <v>0.37727272727272726</v>
      </c>
      <c r="AF43" s="692">
        <f t="shared" si="3"/>
        <v>0</v>
      </c>
      <c r="AG43" s="693" t="s">
        <v>146</v>
      </c>
      <c r="AH43" s="694">
        <v>0</v>
      </c>
      <c r="AI43" s="695"/>
      <c r="AJ43" s="696"/>
      <c r="AK43" s="693"/>
      <c r="AL43" s="692">
        <f t="shared" si="37"/>
        <v>0</v>
      </c>
      <c r="AM43" s="695" t="s">
        <v>121</v>
      </c>
      <c r="AN43" s="693">
        <f t="shared" si="38"/>
        <v>0</v>
      </c>
      <c r="AO43" s="693">
        <f t="shared" si="39"/>
        <v>0</v>
      </c>
      <c r="AP43" s="693">
        <f t="shared" si="40"/>
        <v>0</v>
      </c>
      <c r="AQ43" s="696"/>
      <c r="AR43" s="401">
        <f t="shared" si="36"/>
        <v>0</v>
      </c>
      <c r="AS43" s="402" t="s">
        <v>146</v>
      </c>
      <c r="AT43" s="405">
        <v>0</v>
      </c>
      <c r="AU43" s="406"/>
      <c r="AV43" s="406"/>
      <c r="AW43" s="729"/>
      <c r="AX43" s="397">
        <f t="shared" si="41"/>
        <v>0</v>
      </c>
      <c r="AY43" s="400" t="s">
        <v>121</v>
      </c>
      <c r="AZ43" s="398">
        <f t="shared" si="42"/>
        <v>0</v>
      </c>
      <c r="BA43" s="398">
        <f t="shared" si="43"/>
        <v>0</v>
      </c>
      <c r="BB43" s="398">
        <f t="shared" si="44"/>
        <v>0</v>
      </c>
      <c r="BC43" s="18"/>
      <c r="BD43" s="14">
        <f t="shared" si="45"/>
        <v>0</v>
      </c>
      <c r="BE43" s="677" t="s">
        <v>146</v>
      </c>
      <c r="BF43" s="681"/>
      <c r="BG43" s="754"/>
      <c r="BH43" s="754"/>
      <c r="BI43" s="658"/>
      <c r="BJ43" s="681">
        <f t="shared" si="46"/>
        <v>0</v>
      </c>
      <c r="BK43" s="754" t="s">
        <v>355</v>
      </c>
      <c r="BL43" s="682">
        <f t="shared" si="19"/>
        <v>0</v>
      </c>
      <c r="BM43" s="682">
        <f t="shared" si="20"/>
        <v>0</v>
      </c>
      <c r="BN43" s="682">
        <f t="shared" si="21"/>
        <v>0</v>
      </c>
      <c r="BO43" s="754"/>
      <c r="BP43" s="860">
        <v>1</v>
      </c>
      <c r="BQ43" s="854" t="s">
        <v>105</v>
      </c>
      <c r="BR43" s="861">
        <v>0</v>
      </c>
      <c r="BS43" s="854"/>
      <c r="BT43" s="857"/>
      <c r="BU43" s="907" t="str">
        <f t="shared" si="47"/>
        <v>BAJO</v>
      </c>
      <c r="BV43" s="875">
        <f t="shared" si="48"/>
        <v>0</v>
      </c>
      <c r="BW43" s="863" t="s">
        <v>354</v>
      </c>
      <c r="BX43" s="857">
        <f t="shared" si="24"/>
        <v>0</v>
      </c>
      <c r="BY43" s="857">
        <f t="shared" si="25"/>
        <v>0</v>
      </c>
      <c r="BZ43" s="857">
        <f t="shared" si="26"/>
        <v>0</v>
      </c>
      <c r="CA43" s="857">
        <f t="shared" si="27"/>
        <v>0</v>
      </c>
      <c r="CB43" s="16">
        <f t="shared" si="28"/>
        <v>1</v>
      </c>
      <c r="CC43" s="16">
        <f t="shared" si="29"/>
        <v>0</v>
      </c>
      <c r="CD43" s="16">
        <f t="shared" si="49"/>
        <v>1</v>
      </c>
      <c r="CE43" s="16">
        <f t="shared" si="50"/>
        <v>0</v>
      </c>
      <c r="CF43" s="16" t="e">
        <f>SUM(#REF!/(CC43+CB43))</f>
        <v>#REF!</v>
      </c>
      <c r="CG43" s="19"/>
      <c r="CH43" s="19"/>
      <c r="CI43" s="19"/>
      <c r="CJ43" s="19"/>
      <c r="CK43" s="3" t="s">
        <v>165</v>
      </c>
      <c r="CV43" s="346">
        <f t="shared" si="35"/>
        <v>1</v>
      </c>
    </row>
    <row r="44" spans="1:100" s="3" customFormat="1" ht="242.25" x14ac:dyDescent="0.25">
      <c r="A44" s="350" t="s">
        <v>79</v>
      </c>
      <c r="B44" s="350" t="s">
        <v>80</v>
      </c>
      <c r="C44" s="350" t="s">
        <v>81</v>
      </c>
      <c r="D44" s="350" t="s">
        <v>82</v>
      </c>
      <c r="E44" s="350" t="s">
        <v>83</v>
      </c>
      <c r="F44" s="350" t="s">
        <v>84</v>
      </c>
      <c r="G44" s="350" t="s">
        <v>85</v>
      </c>
      <c r="H44" s="350" t="s">
        <v>86</v>
      </c>
      <c r="I44" s="350" t="s">
        <v>87</v>
      </c>
      <c r="J44" s="350" t="s">
        <v>88</v>
      </c>
      <c r="K44" s="364" t="s">
        <v>11</v>
      </c>
      <c r="L44" s="364" t="s">
        <v>89</v>
      </c>
      <c r="M44" s="684" t="s">
        <v>356</v>
      </c>
      <c r="N44" s="361" t="s">
        <v>116</v>
      </c>
      <c r="O44" s="361" t="s">
        <v>92</v>
      </c>
      <c r="P44" s="922">
        <v>39542136.277533107</v>
      </c>
      <c r="Q44" s="364" t="s">
        <v>94</v>
      </c>
      <c r="R44" s="364" t="s">
        <v>213</v>
      </c>
      <c r="S44" s="352">
        <v>3</v>
      </c>
      <c r="T44" s="476" t="s">
        <v>357</v>
      </c>
      <c r="U44" s="476" t="s">
        <v>358</v>
      </c>
      <c r="V44" s="481" t="s">
        <v>98</v>
      </c>
      <c r="W44" s="500" t="s">
        <v>359</v>
      </c>
      <c r="X44" s="436">
        <v>0</v>
      </c>
      <c r="Y44" s="436">
        <v>0.33</v>
      </c>
      <c r="Z44" s="436">
        <v>0.33</v>
      </c>
      <c r="AA44" s="515">
        <v>0.34</v>
      </c>
      <c r="AB44" s="525">
        <v>7.15</v>
      </c>
      <c r="AC44" s="413">
        <v>1.2987012987012987</v>
      </c>
      <c r="AD44" s="413">
        <v>0.34523785714285715</v>
      </c>
      <c r="AE44" s="413">
        <v>0.37727272727272726</v>
      </c>
      <c r="AF44" s="692">
        <f t="shared" si="3"/>
        <v>0</v>
      </c>
      <c r="AG44" s="693" t="s">
        <v>146</v>
      </c>
      <c r="AH44" s="694">
        <v>0</v>
      </c>
      <c r="AI44" s="695"/>
      <c r="AJ44" s="696"/>
      <c r="AK44" s="693"/>
      <c r="AL44" s="692">
        <f t="shared" si="37"/>
        <v>0</v>
      </c>
      <c r="AM44" s="695" t="s">
        <v>121</v>
      </c>
      <c r="AN44" s="693">
        <f t="shared" si="38"/>
        <v>0</v>
      </c>
      <c r="AO44" s="693">
        <f t="shared" si="39"/>
        <v>0</v>
      </c>
      <c r="AP44" s="693">
        <f t="shared" si="40"/>
        <v>0</v>
      </c>
      <c r="AQ44" s="696"/>
      <c r="AR44" s="401">
        <f t="shared" si="36"/>
        <v>0.33</v>
      </c>
      <c r="AS44" s="402" t="s">
        <v>100</v>
      </c>
      <c r="AT44" s="405">
        <f>1/1</f>
        <v>1</v>
      </c>
      <c r="AU44" s="406" t="s">
        <v>360</v>
      </c>
      <c r="AV44" s="404"/>
      <c r="AW44" s="729" t="str">
        <f t="shared" si="51"/>
        <v>ALTO</v>
      </c>
      <c r="AX44" s="397">
        <f t="shared" si="41"/>
        <v>0.33</v>
      </c>
      <c r="AY44" s="400" t="s">
        <v>246</v>
      </c>
      <c r="AZ44" s="398">
        <f t="shared" si="42"/>
        <v>2.3595000000000002</v>
      </c>
      <c r="BA44" s="398">
        <f t="shared" si="43"/>
        <v>0.4285714285714286</v>
      </c>
      <c r="BB44" s="398">
        <f t="shared" si="44"/>
        <v>0.11392849285714286</v>
      </c>
      <c r="BC44" s="18"/>
      <c r="BD44" s="14">
        <f t="shared" si="45"/>
        <v>0.33</v>
      </c>
      <c r="BE44" s="645" t="s">
        <v>100</v>
      </c>
      <c r="BF44" s="646">
        <f>1/1</f>
        <v>1</v>
      </c>
      <c r="BG44" s="674" t="s">
        <v>361</v>
      </c>
      <c r="BH44" s="754"/>
      <c r="BI44" s="658" t="str">
        <f t="shared" si="31"/>
        <v>ALTO</v>
      </c>
      <c r="BJ44" s="681">
        <f t="shared" si="46"/>
        <v>0.33</v>
      </c>
      <c r="BK44" s="680" t="s">
        <v>362</v>
      </c>
      <c r="BL44" s="682">
        <f t="shared" si="19"/>
        <v>4.6153846153846156E-2</v>
      </c>
      <c r="BM44" s="682">
        <f t="shared" si="20"/>
        <v>0.25409999999999999</v>
      </c>
      <c r="BN44" s="682">
        <f t="shared" si="21"/>
        <v>0.95586272818119189</v>
      </c>
      <c r="BO44" s="754"/>
      <c r="BP44" s="853">
        <f t="shared" ref="BP44:BP62" si="52">AA44</f>
        <v>0.34</v>
      </c>
      <c r="BQ44" s="854" t="s">
        <v>105</v>
      </c>
      <c r="BR44" s="855">
        <v>1</v>
      </c>
      <c r="BS44" s="856" t="s">
        <v>363</v>
      </c>
      <c r="BT44" s="858"/>
      <c r="BU44" s="905" t="str">
        <f t="shared" si="47"/>
        <v>ALTO</v>
      </c>
      <c r="BV44" s="875">
        <f t="shared" si="48"/>
        <v>0.34</v>
      </c>
      <c r="BW44" s="856" t="s">
        <v>364</v>
      </c>
      <c r="BX44" s="857">
        <f t="shared" si="24"/>
        <v>2.4310000000000005</v>
      </c>
      <c r="BY44" s="857">
        <f t="shared" si="25"/>
        <v>0.44155844155844159</v>
      </c>
      <c r="BZ44" s="857">
        <f t="shared" si="26"/>
        <v>0.11738087142857144</v>
      </c>
      <c r="CA44" s="857">
        <f t="shared" si="27"/>
        <v>0.12827272727272729</v>
      </c>
      <c r="CB44" s="16">
        <f t="shared" si="28"/>
        <v>0.67</v>
      </c>
      <c r="CC44" s="16">
        <f t="shared" si="29"/>
        <v>0.33</v>
      </c>
      <c r="CD44" s="16">
        <f t="shared" si="49"/>
        <v>1</v>
      </c>
      <c r="CE44" s="16">
        <f t="shared" si="50"/>
        <v>1</v>
      </c>
      <c r="CF44" s="16" t="e">
        <f>SUM(#REF!/(CC44+CB44))</f>
        <v>#REF!</v>
      </c>
      <c r="CG44" s="19"/>
      <c r="CH44" s="19"/>
      <c r="CI44" s="19"/>
      <c r="CJ44" s="19"/>
      <c r="CV44" s="346">
        <f t="shared" si="35"/>
        <v>1</v>
      </c>
    </row>
    <row r="45" spans="1:100" s="3" customFormat="1" ht="409.5" customHeight="1" x14ac:dyDescent="0.25">
      <c r="A45" s="350" t="s">
        <v>79</v>
      </c>
      <c r="B45" s="350" t="s">
        <v>80</v>
      </c>
      <c r="C45" s="350" t="s">
        <v>81</v>
      </c>
      <c r="D45" s="350" t="s">
        <v>82</v>
      </c>
      <c r="E45" s="350" t="s">
        <v>83</v>
      </c>
      <c r="F45" s="350" t="s">
        <v>84</v>
      </c>
      <c r="G45" s="350" t="s">
        <v>85</v>
      </c>
      <c r="H45" s="350" t="s">
        <v>86</v>
      </c>
      <c r="I45" s="350" t="s">
        <v>87</v>
      </c>
      <c r="J45" s="350" t="s">
        <v>88</v>
      </c>
      <c r="K45" s="364" t="s">
        <v>11</v>
      </c>
      <c r="L45" s="364" t="s">
        <v>89</v>
      </c>
      <c r="M45" s="684" t="s">
        <v>365</v>
      </c>
      <c r="N45" s="361" t="s">
        <v>91</v>
      </c>
      <c r="O45" s="361" t="s">
        <v>154</v>
      </c>
      <c r="P45" s="922">
        <v>39542136.277533107</v>
      </c>
      <c r="Q45" s="364" t="s">
        <v>94</v>
      </c>
      <c r="R45" s="364" t="s">
        <v>213</v>
      </c>
      <c r="S45" s="352">
        <v>9</v>
      </c>
      <c r="T45" s="476" t="s">
        <v>357</v>
      </c>
      <c r="U45" s="476" t="s">
        <v>366</v>
      </c>
      <c r="V45" s="481" t="s">
        <v>98</v>
      </c>
      <c r="W45" s="500" t="s">
        <v>367</v>
      </c>
      <c r="X45" s="436">
        <v>0</v>
      </c>
      <c r="Y45" s="448">
        <v>0.33</v>
      </c>
      <c r="Z45" s="448">
        <v>0.33</v>
      </c>
      <c r="AA45" s="520">
        <v>0.34</v>
      </c>
      <c r="AB45" s="525">
        <v>7.15</v>
      </c>
      <c r="AC45" s="413">
        <v>1.2987012987012987</v>
      </c>
      <c r="AD45" s="413">
        <v>0.34523785714285715</v>
      </c>
      <c r="AE45" s="413">
        <v>0.37727272727272726</v>
      </c>
      <c r="AF45" s="692">
        <v>0</v>
      </c>
      <c r="AG45" s="693" t="s">
        <v>146</v>
      </c>
      <c r="AH45" s="698">
        <v>0</v>
      </c>
      <c r="AI45" s="696"/>
      <c r="AJ45" s="696"/>
      <c r="AK45" s="693"/>
      <c r="AL45" s="692">
        <f t="shared" si="37"/>
        <v>0</v>
      </c>
      <c r="AM45" s="695" t="s">
        <v>121</v>
      </c>
      <c r="AN45" s="693">
        <f t="shared" si="38"/>
        <v>0</v>
      </c>
      <c r="AO45" s="693">
        <f t="shared" si="39"/>
        <v>0</v>
      </c>
      <c r="AP45" s="693">
        <f t="shared" si="40"/>
        <v>0</v>
      </c>
      <c r="AQ45" s="696"/>
      <c r="AR45" s="401">
        <f t="shared" si="36"/>
        <v>0.33</v>
      </c>
      <c r="AS45" s="402" t="s">
        <v>100</v>
      </c>
      <c r="AT45" s="405">
        <f>3/3</f>
        <v>1</v>
      </c>
      <c r="AU45" s="406" t="s">
        <v>368</v>
      </c>
      <c r="AV45" s="406"/>
      <c r="AW45" s="729" t="str">
        <f t="shared" si="51"/>
        <v>ALTO</v>
      </c>
      <c r="AX45" s="397">
        <f t="shared" si="41"/>
        <v>0.33</v>
      </c>
      <c r="AY45" s="400" t="s">
        <v>246</v>
      </c>
      <c r="AZ45" s="398">
        <f t="shared" si="42"/>
        <v>2.3595000000000002</v>
      </c>
      <c r="BA45" s="398">
        <f t="shared" si="43"/>
        <v>0.4285714285714286</v>
      </c>
      <c r="BB45" s="398">
        <f t="shared" si="44"/>
        <v>0.11392849285714286</v>
      </c>
      <c r="BC45" s="18"/>
      <c r="BD45" s="14">
        <f t="shared" si="45"/>
        <v>0.33</v>
      </c>
      <c r="BE45" s="645" t="s">
        <v>100</v>
      </c>
      <c r="BF45" s="646">
        <f>2/2</f>
        <v>1</v>
      </c>
      <c r="BG45" s="674" t="s">
        <v>369</v>
      </c>
      <c r="BH45" s="754"/>
      <c r="BI45" s="658" t="str">
        <f t="shared" si="31"/>
        <v>ALTO</v>
      </c>
      <c r="BJ45" s="681">
        <f t="shared" si="46"/>
        <v>0.33</v>
      </c>
      <c r="BK45" s="680" t="s">
        <v>370</v>
      </c>
      <c r="BL45" s="682">
        <f t="shared" si="19"/>
        <v>4.6153846153846156E-2</v>
      </c>
      <c r="BM45" s="682">
        <f t="shared" si="20"/>
        <v>0.25409999999999999</v>
      </c>
      <c r="BN45" s="682">
        <f t="shared" si="21"/>
        <v>0.95586272818119189</v>
      </c>
      <c r="BO45" s="754"/>
      <c r="BP45" s="853">
        <f t="shared" si="52"/>
        <v>0.34</v>
      </c>
      <c r="BQ45" s="854" t="s">
        <v>105</v>
      </c>
      <c r="BR45" s="864">
        <v>1</v>
      </c>
      <c r="BS45" s="865" t="s">
        <v>371</v>
      </c>
      <c r="BT45" s="937"/>
      <c r="BU45" s="905" t="str">
        <f t="shared" si="47"/>
        <v>ALTO</v>
      </c>
      <c r="BV45" s="875">
        <f t="shared" si="48"/>
        <v>0.34</v>
      </c>
      <c r="BW45" s="866" t="s">
        <v>372</v>
      </c>
      <c r="BX45" s="857">
        <f t="shared" si="24"/>
        <v>2.4310000000000005</v>
      </c>
      <c r="BY45" s="857">
        <f t="shared" si="25"/>
        <v>0.44155844155844159</v>
      </c>
      <c r="BZ45" s="857">
        <f t="shared" si="26"/>
        <v>0.11738087142857144</v>
      </c>
      <c r="CA45" s="857">
        <f t="shared" si="27"/>
        <v>0.12827272727272729</v>
      </c>
      <c r="CB45" s="16">
        <f t="shared" si="28"/>
        <v>0.67</v>
      </c>
      <c r="CC45" s="16">
        <f t="shared" si="29"/>
        <v>0.33</v>
      </c>
      <c r="CD45" s="16">
        <f t="shared" si="49"/>
        <v>1</v>
      </c>
      <c r="CE45" s="16">
        <f t="shared" si="50"/>
        <v>1</v>
      </c>
      <c r="CF45" s="16" t="e">
        <f>SUM(#REF!/(CC45+CB45))</f>
        <v>#REF!</v>
      </c>
      <c r="CG45" s="19"/>
      <c r="CH45" s="19"/>
      <c r="CI45" s="19"/>
      <c r="CJ45" s="19"/>
      <c r="CV45" s="346">
        <f t="shared" si="35"/>
        <v>1</v>
      </c>
    </row>
    <row r="46" spans="1:100" s="3" customFormat="1" ht="342" customHeight="1" x14ac:dyDescent="0.25">
      <c r="A46" s="350" t="s">
        <v>79</v>
      </c>
      <c r="B46" s="350" t="s">
        <v>80</v>
      </c>
      <c r="C46" s="350" t="s">
        <v>81</v>
      </c>
      <c r="D46" s="350" t="s">
        <v>82</v>
      </c>
      <c r="E46" s="350" t="s">
        <v>83</v>
      </c>
      <c r="F46" s="350" t="s">
        <v>84</v>
      </c>
      <c r="G46" s="350" t="s">
        <v>85</v>
      </c>
      <c r="H46" s="350" t="s">
        <v>86</v>
      </c>
      <c r="I46" s="350" t="s">
        <v>87</v>
      </c>
      <c r="J46" s="350" t="s">
        <v>88</v>
      </c>
      <c r="K46" s="364" t="s">
        <v>11</v>
      </c>
      <c r="L46" s="364" t="s">
        <v>89</v>
      </c>
      <c r="M46" s="684" t="s">
        <v>373</v>
      </c>
      <c r="N46" s="361" t="s">
        <v>116</v>
      </c>
      <c r="O46" s="361" t="s">
        <v>92</v>
      </c>
      <c r="P46" s="922">
        <v>39542136.277533107</v>
      </c>
      <c r="Q46" s="364" t="s">
        <v>94</v>
      </c>
      <c r="R46" s="364" t="s">
        <v>213</v>
      </c>
      <c r="S46" s="352">
        <v>1</v>
      </c>
      <c r="T46" s="476" t="s">
        <v>374</v>
      </c>
      <c r="U46" s="476" t="s">
        <v>375</v>
      </c>
      <c r="V46" s="481" t="s">
        <v>253</v>
      </c>
      <c r="W46" s="500" t="s">
        <v>376</v>
      </c>
      <c r="X46" s="436">
        <v>0</v>
      </c>
      <c r="Y46" s="436">
        <v>0</v>
      </c>
      <c r="Z46" s="436">
        <v>0</v>
      </c>
      <c r="AA46" s="515">
        <v>1</v>
      </c>
      <c r="AB46" s="525">
        <v>7.15</v>
      </c>
      <c r="AC46" s="413">
        <v>1.2987012987012987</v>
      </c>
      <c r="AD46" s="413">
        <v>0.34523785714285715</v>
      </c>
      <c r="AE46" s="413">
        <v>0.37727272727272726</v>
      </c>
      <c r="AF46" s="692">
        <f t="shared" ref="AF46:AF52" si="53">X46</f>
        <v>0</v>
      </c>
      <c r="AG46" s="693" t="s">
        <v>146</v>
      </c>
      <c r="AH46" s="698">
        <v>0</v>
      </c>
      <c r="AI46" s="696"/>
      <c r="AJ46" s="696"/>
      <c r="AK46" s="693"/>
      <c r="AL46" s="692">
        <f t="shared" si="37"/>
        <v>0</v>
      </c>
      <c r="AM46" s="695" t="s">
        <v>121</v>
      </c>
      <c r="AN46" s="693">
        <f t="shared" si="38"/>
        <v>0</v>
      </c>
      <c r="AO46" s="693">
        <f t="shared" si="39"/>
        <v>0</v>
      </c>
      <c r="AP46" s="693">
        <f t="shared" si="40"/>
        <v>0</v>
      </c>
      <c r="AQ46" s="696"/>
      <c r="AR46" s="401">
        <f t="shared" si="36"/>
        <v>0</v>
      </c>
      <c r="AS46" s="402" t="s">
        <v>146</v>
      </c>
      <c r="AT46" s="408">
        <v>0</v>
      </c>
      <c r="AU46" s="406"/>
      <c r="AV46" s="406"/>
      <c r="AW46" s="729"/>
      <c r="AX46" s="397">
        <f t="shared" si="41"/>
        <v>0</v>
      </c>
      <c r="AY46" s="400" t="s">
        <v>121</v>
      </c>
      <c r="AZ46" s="398">
        <f t="shared" si="42"/>
        <v>0</v>
      </c>
      <c r="BA46" s="398">
        <f t="shared" si="43"/>
        <v>0</v>
      </c>
      <c r="BB46" s="398">
        <f t="shared" si="44"/>
        <v>0</v>
      </c>
      <c r="BC46" s="18"/>
      <c r="BD46" s="14">
        <f t="shared" si="45"/>
        <v>0</v>
      </c>
      <c r="BE46" s="645" t="s">
        <v>146</v>
      </c>
      <c r="BF46" s="673"/>
      <c r="BG46" s="676" t="s">
        <v>121</v>
      </c>
      <c r="BH46" s="754"/>
      <c r="BI46" s="658" t="str">
        <f t="shared" si="31"/>
        <v>BAJO</v>
      </c>
      <c r="BJ46" s="681">
        <f t="shared" si="46"/>
        <v>0</v>
      </c>
      <c r="BK46" s="754" t="s">
        <v>149</v>
      </c>
      <c r="BL46" s="682">
        <f t="shared" si="19"/>
        <v>0</v>
      </c>
      <c r="BM46" s="682">
        <f t="shared" si="20"/>
        <v>0</v>
      </c>
      <c r="BN46" s="682">
        <f t="shared" si="21"/>
        <v>0</v>
      </c>
      <c r="BO46" s="754"/>
      <c r="BP46" s="853">
        <f t="shared" si="52"/>
        <v>1</v>
      </c>
      <c r="BQ46" s="854" t="s">
        <v>105</v>
      </c>
      <c r="BR46" s="860">
        <v>1</v>
      </c>
      <c r="BS46" s="856" t="s">
        <v>377</v>
      </c>
      <c r="BT46" s="938"/>
      <c r="BU46" s="905" t="str">
        <f t="shared" si="47"/>
        <v>ALTO</v>
      </c>
      <c r="BV46" s="875">
        <f t="shared" si="48"/>
        <v>1</v>
      </c>
      <c r="BW46" s="868" t="s">
        <v>378</v>
      </c>
      <c r="BX46" s="857">
        <f t="shared" si="24"/>
        <v>7.15</v>
      </c>
      <c r="BY46" s="857">
        <f t="shared" si="25"/>
        <v>1.2987012987012987</v>
      </c>
      <c r="BZ46" s="857">
        <f t="shared" si="26"/>
        <v>0.34523785714285715</v>
      </c>
      <c r="CA46" s="857">
        <f t="shared" si="27"/>
        <v>0.37727272727272726</v>
      </c>
      <c r="CB46" s="16">
        <f t="shared" si="28"/>
        <v>1</v>
      </c>
      <c r="CC46" s="16">
        <f t="shared" si="29"/>
        <v>0</v>
      </c>
      <c r="CD46" s="16">
        <f t="shared" si="49"/>
        <v>1</v>
      </c>
      <c r="CE46" s="16">
        <f t="shared" si="50"/>
        <v>1</v>
      </c>
      <c r="CF46" s="16" t="e">
        <f>SUM(#REF!/(CC46+CB46))</f>
        <v>#REF!</v>
      </c>
      <c r="CG46" s="19"/>
      <c r="CH46" s="19"/>
      <c r="CI46" s="19"/>
      <c r="CJ46" s="19"/>
      <c r="CV46" s="346">
        <f t="shared" si="35"/>
        <v>1</v>
      </c>
    </row>
    <row r="47" spans="1:100" s="3" customFormat="1" ht="126.75" customHeight="1" x14ac:dyDescent="0.25">
      <c r="A47" s="350" t="s">
        <v>79</v>
      </c>
      <c r="B47" s="350" t="s">
        <v>80</v>
      </c>
      <c r="C47" s="350" t="s">
        <v>81</v>
      </c>
      <c r="D47" s="350" t="s">
        <v>82</v>
      </c>
      <c r="E47" s="350" t="s">
        <v>83</v>
      </c>
      <c r="F47" s="350" t="s">
        <v>84</v>
      </c>
      <c r="G47" s="350" t="s">
        <v>85</v>
      </c>
      <c r="H47" s="350" t="s">
        <v>86</v>
      </c>
      <c r="I47" s="350" t="s">
        <v>87</v>
      </c>
      <c r="J47" s="350" t="s">
        <v>88</v>
      </c>
      <c r="K47" s="364" t="s">
        <v>11</v>
      </c>
      <c r="L47" s="364" t="s">
        <v>89</v>
      </c>
      <c r="M47" s="684" t="s">
        <v>379</v>
      </c>
      <c r="N47" s="361" t="s">
        <v>91</v>
      </c>
      <c r="O47" s="361" t="s">
        <v>154</v>
      </c>
      <c r="P47" s="922">
        <v>39542136.277533107</v>
      </c>
      <c r="Q47" s="364" t="s">
        <v>94</v>
      </c>
      <c r="R47" s="364" t="s">
        <v>213</v>
      </c>
      <c r="S47" s="352">
        <v>2</v>
      </c>
      <c r="T47" s="476" t="s">
        <v>380</v>
      </c>
      <c r="U47" s="476" t="s">
        <v>381</v>
      </c>
      <c r="V47" s="481" t="s">
        <v>119</v>
      </c>
      <c r="W47" s="500" t="s">
        <v>382</v>
      </c>
      <c r="X47" s="436">
        <v>0</v>
      </c>
      <c r="Y47" s="436">
        <v>0</v>
      </c>
      <c r="Z47" s="436">
        <v>0.5</v>
      </c>
      <c r="AA47" s="515">
        <v>0.5</v>
      </c>
      <c r="AB47" s="525">
        <v>7.15</v>
      </c>
      <c r="AC47" s="413">
        <v>1.2987012987012987</v>
      </c>
      <c r="AD47" s="413">
        <v>0.34523785714285715</v>
      </c>
      <c r="AE47" s="413">
        <v>0.37727272727272726</v>
      </c>
      <c r="AF47" s="692">
        <f t="shared" si="53"/>
        <v>0</v>
      </c>
      <c r="AG47" s="693" t="s">
        <v>146</v>
      </c>
      <c r="AH47" s="698">
        <v>0</v>
      </c>
      <c r="AI47" s="696"/>
      <c r="AJ47" s="696"/>
      <c r="AK47" s="693"/>
      <c r="AL47" s="692">
        <f t="shared" si="37"/>
        <v>0</v>
      </c>
      <c r="AM47" s="695" t="s">
        <v>121</v>
      </c>
      <c r="AN47" s="693">
        <f t="shared" si="38"/>
        <v>0</v>
      </c>
      <c r="AO47" s="693">
        <f t="shared" si="39"/>
        <v>0</v>
      </c>
      <c r="AP47" s="693">
        <f t="shared" si="40"/>
        <v>0</v>
      </c>
      <c r="AQ47" s="696"/>
      <c r="AR47" s="401">
        <f t="shared" si="36"/>
        <v>0</v>
      </c>
      <c r="AS47" s="402" t="s">
        <v>146</v>
      </c>
      <c r="AT47" s="405">
        <v>0</v>
      </c>
      <c r="AU47" s="406"/>
      <c r="AV47" s="406"/>
      <c r="AW47" s="729"/>
      <c r="AX47" s="397">
        <f t="shared" si="41"/>
        <v>0</v>
      </c>
      <c r="AY47" s="400" t="s">
        <v>121</v>
      </c>
      <c r="AZ47" s="398">
        <f t="shared" si="42"/>
        <v>0</v>
      </c>
      <c r="BA47" s="398">
        <f t="shared" si="43"/>
        <v>0</v>
      </c>
      <c r="BB47" s="398">
        <f t="shared" si="44"/>
        <v>0</v>
      </c>
      <c r="BC47" s="18"/>
      <c r="BD47" s="14">
        <f t="shared" si="45"/>
        <v>0.5</v>
      </c>
      <c r="BE47" s="645" t="s">
        <v>100</v>
      </c>
      <c r="BF47" s="646">
        <f>1/1</f>
        <v>1</v>
      </c>
      <c r="BG47" s="674" t="s">
        <v>383</v>
      </c>
      <c r="BH47" s="754"/>
      <c r="BI47" s="658" t="str">
        <f t="shared" si="31"/>
        <v>ALTO</v>
      </c>
      <c r="BJ47" s="681">
        <f t="shared" si="46"/>
        <v>0.5</v>
      </c>
      <c r="BK47" s="680" t="s">
        <v>384</v>
      </c>
      <c r="BL47" s="682">
        <f t="shared" si="19"/>
        <v>6.9930069930069921E-2</v>
      </c>
      <c r="BM47" s="682">
        <f t="shared" si="20"/>
        <v>0.38500000000000001</v>
      </c>
      <c r="BN47" s="682">
        <f t="shared" si="21"/>
        <v>1.4482768608805936</v>
      </c>
      <c r="BO47" s="754"/>
      <c r="BP47" s="853">
        <f t="shared" si="52"/>
        <v>0.5</v>
      </c>
      <c r="BQ47" s="854" t="s">
        <v>105</v>
      </c>
      <c r="BR47" s="860">
        <v>1</v>
      </c>
      <c r="BS47" s="865" t="s">
        <v>385</v>
      </c>
      <c r="BT47" s="939"/>
      <c r="BU47" s="905" t="str">
        <f t="shared" si="47"/>
        <v>ALTO</v>
      </c>
      <c r="BV47" s="875">
        <f t="shared" si="48"/>
        <v>0.5</v>
      </c>
      <c r="BW47" s="869" t="s">
        <v>386</v>
      </c>
      <c r="BX47" s="857">
        <f t="shared" si="24"/>
        <v>3.5750000000000002</v>
      </c>
      <c r="BY47" s="857">
        <f t="shared" si="25"/>
        <v>0.64935064935064934</v>
      </c>
      <c r="BZ47" s="857">
        <f t="shared" si="26"/>
        <v>0.17261892857142858</v>
      </c>
      <c r="CA47" s="857">
        <f t="shared" si="27"/>
        <v>0.18863636363636363</v>
      </c>
      <c r="CB47" s="16">
        <f t="shared" si="28"/>
        <v>1</v>
      </c>
      <c r="CC47" s="16">
        <f t="shared" si="29"/>
        <v>0</v>
      </c>
      <c r="CD47" s="16">
        <f t="shared" si="49"/>
        <v>1</v>
      </c>
      <c r="CE47" s="16">
        <f t="shared" si="50"/>
        <v>1</v>
      </c>
      <c r="CF47" s="16" t="e">
        <f>SUM(#REF!/(CC47+CB47))</f>
        <v>#REF!</v>
      </c>
      <c r="CG47" s="19"/>
      <c r="CH47" s="19"/>
      <c r="CI47" s="19"/>
      <c r="CJ47" s="19"/>
      <c r="CV47" s="346">
        <f t="shared" si="35"/>
        <v>1</v>
      </c>
    </row>
    <row r="48" spans="1:100" s="3" customFormat="1" ht="242.25" x14ac:dyDescent="0.25">
      <c r="A48" s="350" t="s">
        <v>79</v>
      </c>
      <c r="B48" s="350" t="s">
        <v>80</v>
      </c>
      <c r="C48" s="350" t="s">
        <v>81</v>
      </c>
      <c r="D48" s="350" t="s">
        <v>82</v>
      </c>
      <c r="E48" s="350" t="s">
        <v>83</v>
      </c>
      <c r="F48" s="350" t="s">
        <v>84</v>
      </c>
      <c r="G48" s="350" t="s">
        <v>85</v>
      </c>
      <c r="H48" s="350" t="s">
        <v>86</v>
      </c>
      <c r="I48" s="350" t="s">
        <v>87</v>
      </c>
      <c r="J48" s="350" t="s">
        <v>88</v>
      </c>
      <c r="K48" s="364" t="s">
        <v>11</v>
      </c>
      <c r="L48" s="364" t="s">
        <v>89</v>
      </c>
      <c r="M48" s="684" t="s">
        <v>387</v>
      </c>
      <c r="N48" s="361" t="s">
        <v>116</v>
      </c>
      <c r="O48" s="361" t="s">
        <v>92</v>
      </c>
      <c r="P48" s="922">
        <v>39542136.277533107</v>
      </c>
      <c r="Q48" s="364" t="s">
        <v>94</v>
      </c>
      <c r="R48" s="364" t="s">
        <v>213</v>
      </c>
      <c r="S48" s="365">
        <v>1</v>
      </c>
      <c r="T48" s="350" t="s">
        <v>388</v>
      </c>
      <c r="U48" s="350" t="s">
        <v>389</v>
      </c>
      <c r="V48" s="364" t="s">
        <v>119</v>
      </c>
      <c r="W48" s="366" t="s">
        <v>390</v>
      </c>
      <c r="X48" s="436">
        <v>0</v>
      </c>
      <c r="Y48" s="436">
        <v>0</v>
      </c>
      <c r="Z48" s="436">
        <v>0</v>
      </c>
      <c r="AA48" s="515">
        <v>1</v>
      </c>
      <c r="AB48" s="525">
        <v>7.14</v>
      </c>
      <c r="AC48" s="413">
        <v>1.2987012987012987</v>
      </c>
      <c r="AD48" s="413">
        <v>0.34523785714285715</v>
      </c>
      <c r="AE48" s="413">
        <v>0.37727272727272726</v>
      </c>
      <c r="AF48" s="692">
        <f t="shared" si="53"/>
        <v>0</v>
      </c>
      <c r="AG48" s="693" t="s">
        <v>146</v>
      </c>
      <c r="AH48" s="698">
        <v>0</v>
      </c>
      <c r="AI48" s="696"/>
      <c r="AJ48" s="696"/>
      <c r="AK48" s="693"/>
      <c r="AL48" s="692">
        <f t="shared" si="37"/>
        <v>0</v>
      </c>
      <c r="AM48" s="695" t="s">
        <v>121</v>
      </c>
      <c r="AN48" s="693">
        <f t="shared" si="38"/>
        <v>0</v>
      </c>
      <c r="AO48" s="693">
        <f t="shared" si="39"/>
        <v>0</v>
      </c>
      <c r="AP48" s="693">
        <f t="shared" si="40"/>
        <v>0</v>
      </c>
      <c r="AQ48" s="696"/>
      <c r="AR48" s="401">
        <f t="shared" si="36"/>
        <v>0</v>
      </c>
      <c r="AS48" s="402" t="s">
        <v>146</v>
      </c>
      <c r="AT48" s="405">
        <v>0</v>
      </c>
      <c r="AU48" s="406"/>
      <c r="AV48" s="406"/>
      <c r="AW48" s="729"/>
      <c r="AX48" s="397">
        <f t="shared" si="41"/>
        <v>0</v>
      </c>
      <c r="AY48" s="400" t="s">
        <v>121</v>
      </c>
      <c r="AZ48" s="398">
        <f t="shared" si="42"/>
        <v>0</v>
      </c>
      <c r="BA48" s="398">
        <f t="shared" si="43"/>
        <v>0</v>
      </c>
      <c r="BB48" s="398">
        <f t="shared" si="44"/>
        <v>0</v>
      </c>
      <c r="BC48" s="18"/>
      <c r="BD48" s="14">
        <f t="shared" si="45"/>
        <v>0</v>
      </c>
      <c r="BE48" s="645" t="s">
        <v>146</v>
      </c>
      <c r="BF48" s="646"/>
      <c r="BG48" s="676" t="s">
        <v>121</v>
      </c>
      <c r="BH48" s="754"/>
      <c r="BI48" s="658" t="str">
        <f t="shared" si="31"/>
        <v>BAJO</v>
      </c>
      <c r="BJ48" s="681">
        <f t="shared" si="46"/>
        <v>0</v>
      </c>
      <c r="BK48" s="754" t="s">
        <v>149</v>
      </c>
      <c r="BL48" s="682">
        <f t="shared" si="19"/>
        <v>0</v>
      </c>
      <c r="BM48" s="682">
        <f t="shared" si="20"/>
        <v>0</v>
      </c>
      <c r="BN48" s="682">
        <f t="shared" si="21"/>
        <v>0</v>
      </c>
      <c r="BO48" s="754"/>
      <c r="BP48" s="853">
        <f t="shared" si="52"/>
        <v>1</v>
      </c>
      <c r="BQ48" s="854" t="s">
        <v>105</v>
      </c>
      <c r="BR48" s="855">
        <v>1</v>
      </c>
      <c r="BS48" s="856" t="s">
        <v>391</v>
      </c>
      <c r="BT48" s="858"/>
      <c r="BU48" s="905" t="str">
        <f t="shared" si="47"/>
        <v>ALTO</v>
      </c>
      <c r="BV48" s="875">
        <f t="shared" si="48"/>
        <v>1</v>
      </c>
      <c r="BW48" s="854" t="s">
        <v>392</v>
      </c>
      <c r="BX48" s="857">
        <f t="shared" si="24"/>
        <v>7.14</v>
      </c>
      <c r="BY48" s="857">
        <f t="shared" si="25"/>
        <v>1.2987012987012987</v>
      </c>
      <c r="BZ48" s="857">
        <f t="shared" si="26"/>
        <v>0.34523785714285715</v>
      </c>
      <c r="CA48" s="857">
        <f t="shared" si="27"/>
        <v>0.37727272727272726</v>
      </c>
      <c r="CB48" s="16">
        <f t="shared" si="28"/>
        <v>1</v>
      </c>
      <c r="CC48" s="16">
        <f t="shared" si="29"/>
        <v>0</v>
      </c>
      <c r="CD48" s="16">
        <f t="shared" si="49"/>
        <v>1</v>
      </c>
      <c r="CE48" s="16">
        <f t="shared" si="50"/>
        <v>1</v>
      </c>
      <c r="CF48" s="16" t="e">
        <f>SUM(#REF!/(CC48+CB48))</f>
        <v>#REF!</v>
      </c>
      <c r="CG48" s="19"/>
      <c r="CH48" s="19"/>
      <c r="CI48" s="19"/>
      <c r="CJ48" s="19"/>
      <c r="CV48" s="346">
        <f t="shared" si="35"/>
        <v>1</v>
      </c>
    </row>
    <row r="49" spans="1:100" s="3" customFormat="1" ht="342" customHeight="1" x14ac:dyDescent="0.25">
      <c r="A49" s="350" t="s">
        <v>79</v>
      </c>
      <c r="B49" s="350" t="s">
        <v>80</v>
      </c>
      <c r="C49" s="350" t="s">
        <v>81</v>
      </c>
      <c r="D49" s="350" t="s">
        <v>82</v>
      </c>
      <c r="E49" s="350" t="s">
        <v>83</v>
      </c>
      <c r="F49" s="350" t="s">
        <v>84</v>
      </c>
      <c r="G49" s="350" t="s">
        <v>85</v>
      </c>
      <c r="H49" s="350" t="s">
        <v>86</v>
      </c>
      <c r="I49" s="350" t="s">
        <v>87</v>
      </c>
      <c r="J49" s="350" t="s">
        <v>88</v>
      </c>
      <c r="K49" s="364" t="s">
        <v>11</v>
      </c>
      <c r="L49" s="364" t="s">
        <v>89</v>
      </c>
      <c r="M49" s="684" t="s">
        <v>393</v>
      </c>
      <c r="N49" s="361" t="s">
        <v>116</v>
      </c>
      <c r="O49" s="361" t="s">
        <v>92</v>
      </c>
      <c r="P49" s="922">
        <v>39542136.277533107</v>
      </c>
      <c r="Q49" s="364" t="s">
        <v>94</v>
      </c>
      <c r="R49" s="364" t="s">
        <v>213</v>
      </c>
      <c r="S49" s="477">
        <v>1</v>
      </c>
      <c r="T49" s="476" t="s">
        <v>394</v>
      </c>
      <c r="U49" s="476" t="s">
        <v>395</v>
      </c>
      <c r="V49" s="490" t="s">
        <v>98</v>
      </c>
      <c r="W49" s="500" t="s">
        <v>396</v>
      </c>
      <c r="X49" s="436">
        <v>0</v>
      </c>
      <c r="Y49" s="437">
        <v>0.33</v>
      </c>
      <c r="Z49" s="448">
        <v>0.33</v>
      </c>
      <c r="AA49" s="520">
        <v>0.34</v>
      </c>
      <c r="AB49" s="525">
        <v>7.14</v>
      </c>
      <c r="AC49" s="413">
        <v>1.2987012987012987</v>
      </c>
      <c r="AD49" s="413">
        <v>0.34523785714285715</v>
      </c>
      <c r="AE49" s="413">
        <v>0.37727272727272726</v>
      </c>
      <c r="AF49" s="692">
        <f t="shared" si="53"/>
        <v>0</v>
      </c>
      <c r="AG49" s="693" t="s">
        <v>146</v>
      </c>
      <c r="AH49" s="698">
        <v>0</v>
      </c>
      <c r="AI49" s="696"/>
      <c r="AJ49" s="696"/>
      <c r="AK49" s="693"/>
      <c r="AL49" s="692">
        <f t="shared" si="37"/>
        <v>0</v>
      </c>
      <c r="AM49" s="695" t="s">
        <v>121</v>
      </c>
      <c r="AN49" s="693">
        <f t="shared" si="38"/>
        <v>0</v>
      </c>
      <c r="AO49" s="693">
        <f t="shared" si="39"/>
        <v>0</v>
      </c>
      <c r="AP49" s="693">
        <f t="shared" si="40"/>
        <v>0</v>
      </c>
      <c r="AQ49" s="696"/>
      <c r="AR49" s="401">
        <f t="shared" si="36"/>
        <v>0.33</v>
      </c>
      <c r="AS49" s="402" t="s">
        <v>100</v>
      </c>
      <c r="AT49" s="405">
        <f>1/1</f>
        <v>1</v>
      </c>
      <c r="AU49" s="406" t="s">
        <v>397</v>
      </c>
      <c r="AV49" s="406"/>
      <c r="AW49" s="729" t="str">
        <f t="shared" si="51"/>
        <v>ALTO</v>
      </c>
      <c r="AX49" s="397">
        <f t="shared" si="41"/>
        <v>0.33</v>
      </c>
      <c r="AY49" s="400" t="s">
        <v>246</v>
      </c>
      <c r="AZ49" s="398">
        <f t="shared" si="42"/>
        <v>2.3561999999999999</v>
      </c>
      <c r="BA49" s="398">
        <f t="shared" si="43"/>
        <v>0.4285714285714286</v>
      </c>
      <c r="BB49" s="398">
        <f t="shared" si="44"/>
        <v>0.11392849285714286</v>
      </c>
      <c r="BC49" s="18"/>
      <c r="BD49" s="14">
        <f t="shared" si="45"/>
        <v>0.33</v>
      </c>
      <c r="BE49" s="645" t="s">
        <v>100</v>
      </c>
      <c r="BF49" s="646">
        <f>31/31</f>
        <v>1</v>
      </c>
      <c r="BG49" s="674" t="s">
        <v>398</v>
      </c>
      <c r="BH49" s="754"/>
      <c r="BI49" s="658" t="str">
        <f t="shared" si="31"/>
        <v>ALTO</v>
      </c>
      <c r="BJ49" s="681">
        <f t="shared" si="46"/>
        <v>0.33</v>
      </c>
      <c r="BK49" s="680" t="s">
        <v>399</v>
      </c>
      <c r="BL49" s="682">
        <f t="shared" si="19"/>
        <v>4.6218487394957986E-2</v>
      </c>
      <c r="BM49" s="682">
        <f t="shared" si="20"/>
        <v>0.25409999999999999</v>
      </c>
      <c r="BN49" s="682">
        <f t="shared" si="21"/>
        <v>0.95586272818119189</v>
      </c>
      <c r="BO49" s="754"/>
      <c r="BP49" s="853">
        <f t="shared" si="52"/>
        <v>0.34</v>
      </c>
      <c r="BQ49" s="854" t="s">
        <v>105</v>
      </c>
      <c r="BR49" s="940">
        <v>1</v>
      </c>
      <c r="BS49" s="856" t="s">
        <v>400</v>
      </c>
      <c r="BT49" s="937"/>
      <c r="BU49" s="905" t="str">
        <f t="shared" si="47"/>
        <v>ALTO</v>
      </c>
      <c r="BV49" s="875">
        <f t="shared" si="48"/>
        <v>0.34</v>
      </c>
      <c r="BW49" s="867" t="s">
        <v>401</v>
      </c>
      <c r="BX49" s="857">
        <f t="shared" si="24"/>
        <v>2.4276</v>
      </c>
      <c r="BY49" s="857">
        <f t="shared" si="25"/>
        <v>0.44155844155844159</v>
      </c>
      <c r="BZ49" s="857">
        <f t="shared" si="26"/>
        <v>0.11738087142857144</v>
      </c>
      <c r="CA49" s="857">
        <f t="shared" si="27"/>
        <v>0.12827272727272729</v>
      </c>
      <c r="CB49" s="16">
        <f t="shared" si="28"/>
        <v>0.67</v>
      </c>
      <c r="CC49" s="16">
        <f t="shared" si="29"/>
        <v>0.33</v>
      </c>
      <c r="CD49" s="16">
        <f t="shared" si="49"/>
        <v>1</v>
      </c>
      <c r="CE49" s="16">
        <f t="shared" si="50"/>
        <v>1</v>
      </c>
      <c r="CF49" s="16" t="e">
        <f>SUM(#REF!/(CC49+CB49))</f>
        <v>#REF!</v>
      </c>
      <c r="CG49" s="19"/>
      <c r="CH49" s="19"/>
      <c r="CI49" s="19"/>
      <c r="CJ49" s="19"/>
      <c r="CL49" s="3" t="s">
        <v>165</v>
      </c>
      <c r="CV49" s="346">
        <f t="shared" si="35"/>
        <v>1</v>
      </c>
    </row>
    <row r="50" spans="1:100" s="3" customFormat="1" ht="342" customHeight="1" x14ac:dyDescent="0.25">
      <c r="A50" s="350" t="s">
        <v>79</v>
      </c>
      <c r="B50" s="350" t="s">
        <v>80</v>
      </c>
      <c r="C50" s="350" t="s">
        <v>81</v>
      </c>
      <c r="D50" s="350" t="s">
        <v>82</v>
      </c>
      <c r="E50" s="350" t="s">
        <v>83</v>
      </c>
      <c r="F50" s="350" t="s">
        <v>84</v>
      </c>
      <c r="G50" s="350" t="s">
        <v>85</v>
      </c>
      <c r="H50" s="350" t="s">
        <v>86</v>
      </c>
      <c r="I50" s="350" t="s">
        <v>87</v>
      </c>
      <c r="J50" s="350" t="s">
        <v>88</v>
      </c>
      <c r="K50" s="364" t="s">
        <v>11</v>
      </c>
      <c r="L50" s="364" t="s">
        <v>89</v>
      </c>
      <c r="M50" s="685" t="s">
        <v>402</v>
      </c>
      <c r="N50" s="361" t="s">
        <v>91</v>
      </c>
      <c r="O50" s="361" t="s">
        <v>154</v>
      </c>
      <c r="P50" s="922">
        <v>39542136.277533107</v>
      </c>
      <c r="Q50" s="364" t="s">
        <v>94</v>
      </c>
      <c r="R50" s="364" t="s">
        <v>213</v>
      </c>
      <c r="S50" s="352">
        <v>1</v>
      </c>
      <c r="T50" s="476" t="s">
        <v>403</v>
      </c>
      <c r="U50" s="476" t="s">
        <v>404</v>
      </c>
      <c r="V50" s="481" t="s">
        <v>119</v>
      </c>
      <c r="W50" s="500" t="s">
        <v>405</v>
      </c>
      <c r="X50" s="436">
        <v>0</v>
      </c>
      <c r="Y50" s="436">
        <v>1</v>
      </c>
      <c r="Z50" s="436">
        <v>0</v>
      </c>
      <c r="AA50" s="515">
        <v>0</v>
      </c>
      <c r="AB50" s="525">
        <v>7.14</v>
      </c>
      <c r="AC50" s="413">
        <v>1.2987012987012987</v>
      </c>
      <c r="AD50" s="413">
        <v>0.34523785714285715</v>
      </c>
      <c r="AE50" s="413">
        <v>0.37727272727272726</v>
      </c>
      <c r="AF50" s="692">
        <f t="shared" si="53"/>
        <v>0</v>
      </c>
      <c r="AG50" s="693" t="s">
        <v>146</v>
      </c>
      <c r="AH50" s="698">
        <v>0</v>
      </c>
      <c r="AI50" s="696"/>
      <c r="AJ50" s="696"/>
      <c r="AK50" s="693"/>
      <c r="AL50" s="692">
        <f t="shared" si="37"/>
        <v>0</v>
      </c>
      <c r="AM50" s="695" t="s">
        <v>121</v>
      </c>
      <c r="AN50" s="693">
        <f t="shared" si="38"/>
        <v>0</v>
      </c>
      <c r="AO50" s="693">
        <f t="shared" si="39"/>
        <v>0</v>
      </c>
      <c r="AP50" s="693">
        <f t="shared" si="40"/>
        <v>0</v>
      </c>
      <c r="AQ50" s="696"/>
      <c r="AR50" s="401">
        <f t="shared" si="36"/>
        <v>1</v>
      </c>
      <c r="AS50" s="402" t="s">
        <v>105</v>
      </c>
      <c r="AT50" s="405">
        <v>1</v>
      </c>
      <c r="AU50" s="406" t="s">
        <v>406</v>
      </c>
      <c r="AV50" s="406"/>
      <c r="AW50" s="729" t="str">
        <f t="shared" si="51"/>
        <v>ALTO</v>
      </c>
      <c r="AX50" s="397">
        <f t="shared" si="41"/>
        <v>1</v>
      </c>
      <c r="AY50" s="400" t="s">
        <v>246</v>
      </c>
      <c r="AZ50" s="398">
        <f t="shared" si="42"/>
        <v>7.14</v>
      </c>
      <c r="BA50" s="398">
        <f t="shared" si="43"/>
        <v>1.2987012987012987</v>
      </c>
      <c r="BB50" s="398">
        <f t="shared" si="44"/>
        <v>0.34523785714285715</v>
      </c>
      <c r="BC50" s="18"/>
      <c r="BD50" s="14">
        <f t="shared" si="45"/>
        <v>0</v>
      </c>
      <c r="BE50" s="645" t="s">
        <v>146</v>
      </c>
      <c r="BF50" s="646"/>
      <c r="BG50" s="674"/>
      <c r="BH50" s="674" t="s">
        <v>407</v>
      </c>
      <c r="BI50" s="658" t="str">
        <f t="shared" si="31"/>
        <v>BAJO</v>
      </c>
      <c r="BJ50" s="681">
        <f t="shared" si="46"/>
        <v>0</v>
      </c>
      <c r="BK50" s="754" t="s">
        <v>355</v>
      </c>
      <c r="BL50" s="682">
        <f t="shared" si="19"/>
        <v>0</v>
      </c>
      <c r="BM50" s="682">
        <f t="shared" si="20"/>
        <v>0</v>
      </c>
      <c r="BN50" s="682">
        <f t="shared" si="21"/>
        <v>0</v>
      </c>
      <c r="BO50" s="754"/>
      <c r="BP50" s="853">
        <f t="shared" si="52"/>
        <v>0</v>
      </c>
      <c r="BQ50" s="854" t="s">
        <v>105</v>
      </c>
      <c r="BR50" s="941"/>
      <c r="BS50" s="870"/>
      <c r="BT50" s="939"/>
      <c r="BU50" s="907" t="str">
        <f t="shared" si="47"/>
        <v>BAJO</v>
      </c>
      <c r="BV50" s="875">
        <f t="shared" si="48"/>
        <v>0</v>
      </c>
      <c r="BW50" s="869" t="s">
        <v>149</v>
      </c>
      <c r="BX50" s="857">
        <f t="shared" si="24"/>
        <v>0</v>
      </c>
      <c r="BY50" s="857">
        <f t="shared" si="25"/>
        <v>0</v>
      </c>
      <c r="BZ50" s="857">
        <f t="shared" si="26"/>
        <v>0</v>
      </c>
      <c r="CA50" s="857">
        <f t="shared" si="27"/>
        <v>0</v>
      </c>
      <c r="CB50" s="16">
        <f t="shared" si="28"/>
        <v>0</v>
      </c>
      <c r="CC50" s="16">
        <f t="shared" si="29"/>
        <v>1</v>
      </c>
      <c r="CD50" s="16">
        <f t="shared" si="49"/>
        <v>1</v>
      </c>
      <c r="CE50" s="16">
        <f t="shared" si="50"/>
        <v>1</v>
      </c>
      <c r="CF50" s="16" t="e">
        <f>SUM(#REF!/(CC50+CB50))</f>
        <v>#REF!</v>
      </c>
      <c r="CG50" s="19"/>
      <c r="CH50" s="19"/>
      <c r="CI50" s="19"/>
      <c r="CJ50" s="19"/>
      <c r="CV50" s="346">
        <f t="shared" si="35"/>
        <v>1</v>
      </c>
    </row>
    <row r="51" spans="1:100" s="3" customFormat="1" ht="171" x14ac:dyDescent="0.25">
      <c r="A51" s="351" t="s">
        <v>79</v>
      </c>
      <c r="B51" s="351" t="s">
        <v>80</v>
      </c>
      <c r="C51" s="351" t="s">
        <v>81</v>
      </c>
      <c r="D51" s="351" t="s">
        <v>82</v>
      </c>
      <c r="E51" s="351" t="s">
        <v>83</v>
      </c>
      <c r="F51" s="351" t="s">
        <v>84</v>
      </c>
      <c r="G51" s="368" t="s">
        <v>85</v>
      </c>
      <c r="H51" s="368" t="s">
        <v>86</v>
      </c>
      <c r="I51" s="368" t="s">
        <v>87</v>
      </c>
      <c r="J51" s="368" t="s">
        <v>152</v>
      </c>
      <c r="K51" s="368" t="s">
        <v>11</v>
      </c>
      <c r="L51" s="368" t="s">
        <v>89</v>
      </c>
      <c r="M51" s="927" t="s">
        <v>153</v>
      </c>
      <c r="N51" s="367" t="s">
        <v>91</v>
      </c>
      <c r="O51" s="367" t="s">
        <v>154</v>
      </c>
      <c r="P51" s="930">
        <v>39542136.277533107</v>
      </c>
      <c r="Q51" s="368" t="s">
        <v>94</v>
      </c>
      <c r="R51" s="368" t="s">
        <v>156</v>
      </c>
      <c r="S51" s="357">
        <v>3</v>
      </c>
      <c r="T51" s="369" t="s">
        <v>157</v>
      </c>
      <c r="U51" s="357" t="s">
        <v>158</v>
      </c>
      <c r="V51" s="370" t="s">
        <v>98</v>
      </c>
      <c r="W51" s="497" t="s">
        <v>159</v>
      </c>
      <c r="X51" s="432">
        <v>0</v>
      </c>
      <c r="Y51" s="432">
        <v>0.34</v>
      </c>
      <c r="Z51" s="432">
        <v>0.33</v>
      </c>
      <c r="AA51" s="444">
        <v>0.33</v>
      </c>
      <c r="AB51" s="525">
        <v>7.14</v>
      </c>
      <c r="AC51" s="413">
        <v>1.2987012987012987</v>
      </c>
      <c r="AD51" s="413">
        <v>0.34523785714285715</v>
      </c>
      <c r="AE51" s="413">
        <v>0.37727272727272726</v>
      </c>
      <c r="AF51" s="692">
        <f t="shared" si="53"/>
        <v>0</v>
      </c>
      <c r="AG51" s="693" t="s">
        <v>146</v>
      </c>
      <c r="AH51" s="698">
        <v>0</v>
      </c>
      <c r="AI51" s="696"/>
      <c r="AJ51" s="696"/>
      <c r="AK51" s="693"/>
      <c r="AL51" s="692">
        <f t="shared" si="37"/>
        <v>0</v>
      </c>
      <c r="AM51" s="695" t="s">
        <v>121</v>
      </c>
      <c r="AN51" s="693">
        <f t="shared" si="38"/>
        <v>0</v>
      </c>
      <c r="AO51" s="693">
        <f t="shared" si="39"/>
        <v>0</v>
      </c>
      <c r="AP51" s="693">
        <f t="shared" si="40"/>
        <v>0</v>
      </c>
      <c r="AQ51" s="696"/>
      <c r="AR51" s="401">
        <f t="shared" si="36"/>
        <v>0.34</v>
      </c>
      <c r="AS51" s="402" t="s">
        <v>100</v>
      </c>
      <c r="AT51" s="405">
        <f t="shared" ref="AT51:AT56" si="54">1/1</f>
        <v>1</v>
      </c>
      <c r="AU51" s="406" t="s">
        <v>408</v>
      </c>
      <c r="AV51" s="406"/>
      <c r="AW51" s="729" t="str">
        <f t="shared" si="51"/>
        <v>ALTO</v>
      </c>
      <c r="AX51" s="397">
        <f t="shared" si="41"/>
        <v>0.34</v>
      </c>
      <c r="AY51" s="400" t="s">
        <v>246</v>
      </c>
      <c r="AZ51" s="398">
        <f t="shared" si="42"/>
        <v>2.4276</v>
      </c>
      <c r="BA51" s="398">
        <f t="shared" si="43"/>
        <v>0.44155844155844159</v>
      </c>
      <c r="BB51" s="398">
        <f t="shared" si="44"/>
        <v>0.11738087142857144</v>
      </c>
      <c r="BC51" s="18"/>
      <c r="BD51" s="14">
        <f t="shared" si="45"/>
        <v>0.33</v>
      </c>
      <c r="BE51" s="645" t="s">
        <v>100</v>
      </c>
      <c r="BF51" s="646">
        <f t="shared" ref="BF51:BF56" si="55">1/1</f>
        <v>1</v>
      </c>
      <c r="BG51" s="674" t="s">
        <v>409</v>
      </c>
      <c r="BH51" s="754"/>
      <c r="BI51" s="658" t="str">
        <f t="shared" si="31"/>
        <v>ALTO</v>
      </c>
      <c r="BJ51" s="681">
        <f t="shared" si="46"/>
        <v>0.33</v>
      </c>
      <c r="BK51" s="680" t="s">
        <v>410</v>
      </c>
      <c r="BL51" s="682">
        <f t="shared" si="19"/>
        <v>4.6218487394957986E-2</v>
      </c>
      <c r="BM51" s="682">
        <f t="shared" si="20"/>
        <v>0.25409999999999999</v>
      </c>
      <c r="BN51" s="682">
        <f t="shared" si="21"/>
        <v>0.95586272818119189</v>
      </c>
      <c r="BO51" s="754"/>
      <c r="BP51" s="853">
        <f t="shared" si="52"/>
        <v>0.33</v>
      </c>
      <c r="BQ51" s="854" t="s">
        <v>105</v>
      </c>
      <c r="BR51" s="855">
        <v>1</v>
      </c>
      <c r="BS51" s="856" t="s">
        <v>409</v>
      </c>
      <c r="BT51" s="858"/>
      <c r="BU51" s="905" t="str">
        <f t="shared" si="47"/>
        <v>ALTO</v>
      </c>
      <c r="BV51" s="875">
        <f t="shared" si="48"/>
        <v>0.33</v>
      </c>
      <c r="BW51" s="854" t="s">
        <v>411</v>
      </c>
      <c r="BX51" s="857">
        <f t="shared" si="24"/>
        <v>2.3561999999999999</v>
      </c>
      <c r="BY51" s="857">
        <f t="shared" si="25"/>
        <v>0.4285714285714286</v>
      </c>
      <c r="BZ51" s="857">
        <f t="shared" si="26"/>
        <v>0.11392849285714286</v>
      </c>
      <c r="CA51" s="857">
        <f t="shared" si="27"/>
        <v>0.1245</v>
      </c>
      <c r="CB51" s="16">
        <f t="shared" si="28"/>
        <v>0.66</v>
      </c>
      <c r="CC51" s="16">
        <f t="shared" si="29"/>
        <v>0.34</v>
      </c>
      <c r="CD51" s="16">
        <f t="shared" si="49"/>
        <v>1</v>
      </c>
      <c r="CE51" s="16">
        <f t="shared" si="50"/>
        <v>1</v>
      </c>
      <c r="CF51" s="16" t="e">
        <f>SUM(#REF!/(CC51+CB51))</f>
        <v>#REF!</v>
      </c>
      <c r="CG51" s="19"/>
      <c r="CH51" s="19"/>
      <c r="CI51" s="19"/>
      <c r="CJ51" s="19"/>
      <c r="CK51" s="3" t="s">
        <v>165</v>
      </c>
      <c r="CV51" s="346">
        <f t="shared" si="35"/>
        <v>1</v>
      </c>
    </row>
    <row r="52" spans="1:100" s="3" customFormat="1" ht="171" x14ac:dyDescent="0.25">
      <c r="A52" s="351" t="s">
        <v>79</v>
      </c>
      <c r="B52" s="351" t="s">
        <v>80</v>
      </c>
      <c r="C52" s="351" t="s">
        <v>81</v>
      </c>
      <c r="D52" s="351" t="s">
        <v>82</v>
      </c>
      <c r="E52" s="351" t="s">
        <v>83</v>
      </c>
      <c r="F52" s="351" t="s">
        <v>84</v>
      </c>
      <c r="G52" s="368" t="s">
        <v>85</v>
      </c>
      <c r="H52" s="368" t="s">
        <v>86</v>
      </c>
      <c r="I52" s="368" t="s">
        <v>87</v>
      </c>
      <c r="J52" s="368" t="s">
        <v>152</v>
      </c>
      <c r="K52" s="368" t="s">
        <v>11</v>
      </c>
      <c r="L52" s="368" t="s">
        <v>89</v>
      </c>
      <c r="M52" s="928" t="s">
        <v>166</v>
      </c>
      <c r="N52" s="367" t="s">
        <v>91</v>
      </c>
      <c r="O52" s="367" t="s">
        <v>154</v>
      </c>
      <c r="P52" s="930">
        <v>39542136.277533107</v>
      </c>
      <c r="Q52" s="368" t="s">
        <v>94</v>
      </c>
      <c r="R52" s="368" t="s">
        <v>156</v>
      </c>
      <c r="S52" s="478">
        <v>3</v>
      </c>
      <c r="T52" s="479" t="s">
        <v>167</v>
      </c>
      <c r="U52" s="479" t="s">
        <v>168</v>
      </c>
      <c r="V52" s="491" t="s">
        <v>98</v>
      </c>
      <c r="W52" s="501" t="s">
        <v>337</v>
      </c>
      <c r="X52" s="449">
        <v>0</v>
      </c>
      <c r="Y52" s="450">
        <v>0.33</v>
      </c>
      <c r="Z52" s="450">
        <v>0.33</v>
      </c>
      <c r="AA52" s="521">
        <v>0.34</v>
      </c>
      <c r="AB52" s="525">
        <v>7.14</v>
      </c>
      <c r="AC52" s="413">
        <v>1.2987012987012987</v>
      </c>
      <c r="AD52" s="413">
        <v>0.34523785714285715</v>
      </c>
      <c r="AE52" s="413">
        <v>0.37727272727272726</v>
      </c>
      <c r="AF52" s="692">
        <f t="shared" si="53"/>
        <v>0</v>
      </c>
      <c r="AG52" s="693" t="s">
        <v>146</v>
      </c>
      <c r="AH52" s="698">
        <v>0</v>
      </c>
      <c r="AI52" s="696"/>
      <c r="AJ52" s="696"/>
      <c r="AK52" s="693"/>
      <c r="AL52" s="692">
        <f t="shared" si="37"/>
        <v>0</v>
      </c>
      <c r="AM52" s="695" t="s">
        <v>121</v>
      </c>
      <c r="AN52" s="693">
        <f t="shared" si="38"/>
        <v>0</v>
      </c>
      <c r="AO52" s="693">
        <f t="shared" si="39"/>
        <v>0</v>
      </c>
      <c r="AP52" s="693">
        <f t="shared" si="40"/>
        <v>0</v>
      </c>
      <c r="AQ52" s="696"/>
      <c r="AR52" s="401">
        <f t="shared" si="36"/>
        <v>0.33</v>
      </c>
      <c r="AS52" s="402" t="s">
        <v>100</v>
      </c>
      <c r="AT52" s="405">
        <f t="shared" si="54"/>
        <v>1</v>
      </c>
      <c r="AU52" s="406" t="s">
        <v>412</v>
      </c>
      <c r="AV52" s="404"/>
      <c r="AW52" s="729" t="str">
        <f t="shared" si="51"/>
        <v>ALTO</v>
      </c>
      <c r="AX52" s="397">
        <f t="shared" si="41"/>
        <v>0.33</v>
      </c>
      <c r="AY52" s="400" t="s">
        <v>246</v>
      </c>
      <c r="AZ52" s="398">
        <f t="shared" si="42"/>
        <v>2.3561999999999999</v>
      </c>
      <c r="BA52" s="398">
        <f t="shared" si="43"/>
        <v>0.4285714285714286</v>
      </c>
      <c r="BB52" s="398">
        <f t="shared" si="44"/>
        <v>0.11392849285714286</v>
      </c>
      <c r="BC52" s="18"/>
      <c r="BD52" s="14">
        <f t="shared" si="45"/>
        <v>0.33</v>
      </c>
      <c r="BE52" s="645" t="s">
        <v>100</v>
      </c>
      <c r="BF52" s="646">
        <f t="shared" si="55"/>
        <v>1</v>
      </c>
      <c r="BG52" s="674" t="s">
        <v>413</v>
      </c>
      <c r="BH52" s="754"/>
      <c r="BI52" s="658" t="str">
        <f t="shared" si="31"/>
        <v>ALTO</v>
      </c>
      <c r="BJ52" s="681">
        <f t="shared" si="46"/>
        <v>0.33</v>
      </c>
      <c r="BK52" s="680" t="s">
        <v>414</v>
      </c>
      <c r="BL52" s="682">
        <f t="shared" si="19"/>
        <v>4.6218487394957986E-2</v>
      </c>
      <c r="BM52" s="682">
        <f t="shared" si="20"/>
        <v>0.25409999999999999</v>
      </c>
      <c r="BN52" s="682">
        <f t="shared" si="21"/>
        <v>0.95586272818119189</v>
      </c>
      <c r="BO52" s="754"/>
      <c r="BP52" s="853">
        <f t="shared" si="52"/>
        <v>0.34</v>
      </c>
      <c r="BQ52" s="854" t="s">
        <v>105</v>
      </c>
      <c r="BR52" s="855">
        <v>1</v>
      </c>
      <c r="BS52" s="856" t="s">
        <v>415</v>
      </c>
      <c r="BT52" s="858"/>
      <c r="BU52" s="905" t="str">
        <f t="shared" si="47"/>
        <v>ALTO</v>
      </c>
      <c r="BV52" s="875">
        <f t="shared" si="48"/>
        <v>0.34</v>
      </c>
      <c r="BW52" s="854" t="s">
        <v>416</v>
      </c>
      <c r="BX52" s="857">
        <f t="shared" si="24"/>
        <v>2.4276</v>
      </c>
      <c r="BY52" s="857">
        <f t="shared" si="25"/>
        <v>0.44155844155844159</v>
      </c>
      <c r="BZ52" s="857">
        <f t="shared" si="26"/>
        <v>0.11738087142857144</v>
      </c>
      <c r="CA52" s="857">
        <f t="shared" si="27"/>
        <v>0.12827272727272729</v>
      </c>
      <c r="CB52" s="16">
        <f t="shared" si="28"/>
        <v>0.67</v>
      </c>
      <c r="CC52" s="16">
        <f t="shared" si="29"/>
        <v>0.33</v>
      </c>
      <c r="CD52" s="16">
        <f t="shared" si="49"/>
        <v>1</v>
      </c>
      <c r="CE52" s="16">
        <f t="shared" si="50"/>
        <v>1</v>
      </c>
      <c r="CF52" s="16" t="e">
        <f>SUM(#REF!/(CC52+CB52))</f>
        <v>#REF!</v>
      </c>
      <c r="CG52" s="19"/>
      <c r="CH52" s="19"/>
      <c r="CI52" s="19"/>
      <c r="CJ52" s="19"/>
      <c r="CK52" s="3" t="s">
        <v>165</v>
      </c>
      <c r="CV52" s="346">
        <f t="shared" si="35"/>
        <v>1</v>
      </c>
    </row>
    <row r="53" spans="1:100" s="3" customFormat="1" ht="171" x14ac:dyDescent="0.25">
      <c r="A53" s="351" t="s">
        <v>79</v>
      </c>
      <c r="B53" s="351" t="s">
        <v>80</v>
      </c>
      <c r="C53" s="351" t="s">
        <v>81</v>
      </c>
      <c r="D53" s="351" t="s">
        <v>82</v>
      </c>
      <c r="E53" s="351" t="s">
        <v>83</v>
      </c>
      <c r="F53" s="351" t="s">
        <v>84</v>
      </c>
      <c r="G53" s="368" t="s">
        <v>85</v>
      </c>
      <c r="H53" s="368" t="s">
        <v>86</v>
      </c>
      <c r="I53" s="368" t="s">
        <v>87</v>
      </c>
      <c r="J53" s="368" t="s">
        <v>152</v>
      </c>
      <c r="K53" s="368" t="s">
        <v>11</v>
      </c>
      <c r="L53" s="368" t="s">
        <v>89</v>
      </c>
      <c r="M53" s="928" t="s">
        <v>174</v>
      </c>
      <c r="N53" s="367" t="s">
        <v>91</v>
      </c>
      <c r="O53" s="367" t="s">
        <v>154</v>
      </c>
      <c r="P53" s="930">
        <v>39542136.277533107</v>
      </c>
      <c r="Q53" s="368" t="s">
        <v>94</v>
      </c>
      <c r="R53" s="368" t="s">
        <v>156</v>
      </c>
      <c r="S53" s="478">
        <v>3</v>
      </c>
      <c r="T53" s="479" t="s">
        <v>175</v>
      </c>
      <c r="U53" s="479" t="s">
        <v>176</v>
      </c>
      <c r="V53" s="491" t="s">
        <v>98</v>
      </c>
      <c r="W53" s="501" t="s">
        <v>342</v>
      </c>
      <c r="X53" s="449">
        <v>0</v>
      </c>
      <c r="Y53" s="450">
        <v>0.33</v>
      </c>
      <c r="Z53" s="450">
        <v>0.33</v>
      </c>
      <c r="AA53" s="521">
        <v>0.34</v>
      </c>
      <c r="AB53" s="525">
        <v>7.14</v>
      </c>
      <c r="AC53" s="413">
        <v>1.2987012987012987</v>
      </c>
      <c r="AD53" s="413">
        <v>0.34523785714285715</v>
      </c>
      <c r="AE53" s="413">
        <v>0.37727272727272726</v>
      </c>
      <c r="AF53" s="692">
        <v>0</v>
      </c>
      <c r="AG53" s="693" t="s">
        <v>146</v>
      </c>
      <c r="AH53" s="698">
        <v>0</v>
      </c>
      <c r="AI53" s="696"/>
      <c r="AJ53" s="696"/>
      <c r="AK53" s="693"/>
      <c r="AL53" s="692">
        <f t="shared" si="37"/>
        <v>0</v>
      </c>
      <c r="AM53" s="695" t="s">
        <v>121</v>
      </c>
      <c r="AN53" s="693">
        <f t="shared" si="38"/>
        <v>0</v>
      </c>
      <c r="AO53" s="693">
        <f t="shared" si="39"/>
        <v>0</v>
      </c>
      <c r="AP53" s="693">
        <f t="shared" si="40"/>
        <v>0</v>
      </c>
      <c r="AQ53" s="696"/>
      <c r="AR53" s="401">
        <f t="shared" si="36"/>
        <v>0.33</v>
      </c>
      <c r="AS53" s="402" t="s">
        <v>100</v>
      </c>
      <c r="AT53" s="405">
        <f t="shared" si="54"/>
        <v>1</v>
      </c>
      <c r="AU53" s="406" t="s">
        <v>417</v>
      </c>
      <c r="AV53" s="406"/>
      <c r="AW53" s="729" t="str">
        <f t="shared" si="51"/>
        <v>ALTO</v>
      </c>
      <c r="AX53" s="397">
        <f t="shared" si="41"/>
        <v>0.33</v>
      </c>
      <c r="AY53" s="400" t="s">
        <v>246</v>
      </c>
      <c r="AZ53" s="398">
        <f t="shared" si="42"/>
        <v>2.3561999999999999</v>
      </c>
      <c r="BA53" s="398">
        <f t="shared" si="43"/>
        <v>0.4285714285714286</v>
      </c>
      <c r="BB53" s="398">
        <f t="shared" si="44"/>
        <v>0.11392849285714286</v>
      </c>
      <c r="BC53" s="18"/>
      <c r="BD53" s="14">
        <f t="shared" si="45"/>
        <v>0.33</v>
      </c>
      <c r="BE53" s="645" t="s">
        <v>100</v>
      </c>
      <c r="BF53" s="646">
        <f t="shared" si="55"/>
        <v>1</v>
      </c>
      <c r="BG53" s="674" t="s">
        <v>418</v>
      </c>
      <c r="BH53" s="754"/>
      <c r="BI53" s="658" t="str">
        <f t="shared" si="31"/>
        <v>ALTO</v>
      </c>
      <c r="BJ53" s="681">
        <f t="shared" si="46"/>
        <v>0.33</v>
      </c>
      <c r="BK53" s="680" t="s">
        <v>419</v>
      </c>
      <c r="BL53" s="682">
        <f t="shared" si="19"/>
        <v>4.6218487394957986E-2</v>
      </c>
      <c r="BM53" s="682">
        <f t="shared" si="20"/>
        <v>0.25409999999999999</v>
      </c>
      <c r="BN53" s="682">
        <f t="shared" si="21"/>
        <v>0.95586272818119189</v>
      </c>
      <c r="BO53" s="754"/>
      <c r="BP53" s="853">
        <f t="shared" si="52"/>
        <v>0.34</v>
      </c>
      <c r="BQ53" s="854" t="s">
        <v>105</v>
      </c>
      <c r="BR53" s="855">
        <v>1</v>
      </c>
      <c r="BS53" s="856" t="s">
        <v>420</v>
      </c>
      <c r="BT53" s="858" t="s">
        <v>407</v>
      </c>
      <c r="BU53" s="905" t="str">
        <f t="shared" si="47"/>
        <v>ALTO</v>
      </c>
      <c r="BV53" s="875">
        <f t="shared" si="48"/>
        <v>0.34</v>
      </c>
      <c r="BW53" s="859" t="s">
        <v>180</v>
      </c>
      <c r="BX53" s="857">
        <f t="shared" si="24"/>
        <v>2.4276</v>
      </c>
      <c r="BY53" s="857">
        <f t="shared" si="25"/>
        <v>0.44155844155844159</v>
      </c>
      <c r="BZ53" s="857">
        <f t="shared" si="26"/>
        <v>0.11738087142857144</v>
      </c>
      <c r="CA53" s="857">
        <f t="shared" si="27"/>
        <v>0.12827272727272729</v>
      </c>
      <c r="CB53" s="16">
        <f t="shared" si="28"/>
        <v>0.67</v>
      </c>
      <c r="CC53" s="16">
        <f t="shared" si="29"/>
        <v>0.33</v>
      </c>
      <c r="CD53" s="16">
        <f t="shared" si="49"/>
        <v>1</v>
      </c>
      <c r="CE53" s="16">
        <f t="shared" si="50"/>
        <v>1</v>
      </c>
      <c r="CF53" s="16" t="e">
        <f>SUM(#REF!/(CC53+CB53))</f>
        <v>#REF!</v>
      </c>
      <c r="CG53" s="19"/>
      <c r="CH53" s="19"/>
      <c r="CI53" s="19"/>
      <c r="CJ53" s="19"/>
      <c r="CK53" s="3" t="s">
        <v>165</v>
      </c>
      <c r="CV53" s="346">
        <f t="shared" si="35"/>
        <v>1</v>
      </c>
    </row>
    <row r="54" spans="1:100" s="3" customFormat="1" ht="171" x14ac:dyDescent="0.25">
      <c r="A54" s="351" t="s">
        <v>79</v>
      </c>
      <c r="B54" s="351" t="s">
        <v>80</v>
      </c>
      <c r="C54" s="351" t="s">
        <v>81</v>
      </c>
      <c r="D54" s="351" t="s">
        <v>82</v>
      </c>
      <c r="E54" s="351" t="s">
        <v>83</v>
      </c>
      <c r="F54" s="351" t="s">
        <v>84</v>
      </c>
      <c r="G54" s="368" t="s">
        <v>85</v>
      </c>
      <c r="H54" s="368" t="s">
        <v>86</v>
      </c>
      <c r="I54" s="368" t="s">
        <v>87</v>
      </c>
      <c r="J54" s="368" t="s">
        <v>152</v>
      </c>
      <c r="K54" s="368" t="s">
        <v>11</v>
      </c>
      <c r="L54" s="368" t="s">
        <v>89</v>
      </c>
      <c r="M54" s="928" t="s">
        <v>181</v>
      </c>
      <c r="N54" s="367" t="s">
        <v>91</v>
      </c>
      <c r="O54" s="367" t="s">
        <v>154</v>
      </c>
      <c r="P54" s="930">
        <v>39542136.277533107</v>
      </c>
      <c r="Q54" s="368" t="s">
        <v>94</v>
      </c>
      <c r="R54" s="368" t="s">
        <v>156</v>
      </c>
      <c r="S54" s="480">
        <v>1</v>
      </c>
      <c r="T54" s="479" t="s">
        <v>182</v>
      </c>
      <c r="U54" s="479" t="s">
        <v>183</v>
      </c>
      <c r="V54" s="491" t="s">
        <v>98</v>
      </c>
      <c r="W54" s="501" t="s">
        <v>421</v>
      </c>
      <c r="X54" s="449">
        <v>0</v>
      </c>
      <c r="Y54" s="450">
        <v>0.5</v>
      </c>
      <c r="Z54" s="449">
        <v>0</v>
      </c>
      <c r="AA54" s="521">
        <v>0.5</v>
      </c>
      <c r="AB54" s="525">
        <v>7.14</v>
      </c>
      <c r="AC54" s="413">
        <v>1.2987012987012987</v>
      </c>
      <c r="AD54" s="413">
        <v>0.34523785714285715</v>
      </c>
      <c r="AE54" s="413">
        <v>0.37727272727272726</v>
      </c>
      <c r="AF54" s="692">
        <v>0</v>
      </c>
      <c r="AG54" s="693" t="s">
        <v>146</v>
      </c>
      <c r="AH54" s="698">
        <v>0</v>
      </c>
      <c r="AI54" s="696"/>
      <c r="AJ54" s="696"/>
      <c r="AK54" s="693"/>
      <c r="AL54" s="692">
        <f t="shared" si="37"/>
        <v>0</v>
      </c>
      <c r="AM54" s="695" t="s">
        <v>121</v>
      </c>
      <c r="AN54" s="693">
        <f t="shared" si="38"/>
        <v>0</v>
      </c>
      <c r="AO54" s="693">
        <f t="shared" si="39"/>
        <v>0</v>
      </c>
      <c r="AP54" s="693">
        <f t="shared" si="40"/>
        <v>0</v>
      </c>
      <c r="AQ54" s="696"/>
      <c r="AR54" s="401">
        <f t="shared" si="36"/>
        <v>0.5</v>
      </c>
      <c r="AS54" s="402" t="s">
        <v>100</v>
      </c>
      <c r="AT54" s="405">
        <f t="shared" si="54"/>
        <v>1</v>
      </c>
      <c r="AU54" s="406" t="s">
        <v>422</v>
      </c>
      <c r="AV54" s="406"/>
      <c r="AW54" s="729" t="str">
        <f t="shared" si="51"/>
        <v>ALTO</v>
      </c>
      <c r="AX54" s="397">
        <f t="shared" si="41"/>
        <v>0.5</v>
      </c>
      <c r="AY54" s="400" t="s">
        <v>246</v>
      </c>
      <c r="AZ54" s="398">
        <f t="shared" si="42"/>
        <v>3.57</v>
      </c>
      <c r="BA54" s="398">
        <f t="shared" si="43"/>
        <v>0.64935064935064934</v>
      </c>
      <c r="BB54" s="398">
        <f t="shared" si="44"/>
        <v>0.17261892857142858</v>
      </c>
      <c r="BC54" s="18"/>
      <c r="BD54" s="14">
        <f t="shared" si="45"/>
        <v>0</v>
      </c>
      <c r="BE54" s="645" t="s">
        <v>146</v>
      </c>
      <c r="BF54" s="646"/>
      <c r="BG54" s="674" t="s">
        <v>423</v>
      </c>
      <c r="BH54" s="680" t="s">
        <v>424</v>
      </c>
      <c r="BI54" s="658" t="str">
        <f t="shared" si="31"/>
        <v>BAJO</v>
      </c>
      <c r="BJ54" s="681">
        <f t="shared" si="46"/>
        <v>0</v>
      </c>
      <c r="BK54" s="754" t="s">
        <v>149</v>
      </c>
      <c r="BL54" s="682">
        <f t="shared" si="19"/>
        <v>0</v>
      </c>
      <c r="BM54" s="682">
        <f t="shared" si="20"/>
        <v>0</v>
      </c>
      <c r="BN54" s="682">
        <f t="shared" si="21"/>
        <v>0</v>
      </c>
      <c r="BO54" s="754"/>
      <c r="BP54" s="853">
        <f t="shared" si="52"/>
        <v>0.5</v>
      </c>
      <c r="BQ54" s="854" t="s">
        <v>105</v>
      </c>
      <c r="BR54" s="855">
        <v>1</v>
      </c>
      <c r="BS54" s="856" t="s">
        <v>425</v>
      </c>
      <c r="BT54" s="858"/>
      <c r="BU54" s="905" t="str">
        <f t="shared" si="47"/>
        <v>ALTO</v>
      </c>
      <c r="BV54" s="875">
        <f t="shared" si="48"/>
        <v>0.5</v>
      </c>
      <c r="BW54" s="854" t="s">
        <v>426</v>
      </c>
      <c r="BX54" s="857">
        <f t="shared" si="24"/>
        <v>3.57</v>
      </c>
      <c r="BY54" s="857">
        <f t="shared" si="25"/>
        <v>0.64935064935064934</v>
      </c>
      <c r="BZ54" s="857">
        <f t="shared" si="26"/>
        <v>0.17261892857142858</v>
      </c>
      <c r="CA54" s="857">
        <f t="shared" si="27"/>
        <v>0.18863636363636363</v>
      </c>
      <c r="CB54" s="16">
        <f t="shared" si="28"/>
        <v>0.5</v>
      </c>
      <c r="CC54" s="16">
        <f t="shared" si="29"/>
        <v>0.5</v>
      </c>
      <c r="CD54" s="16">
        <f t="shared" si="49"/>
        <v>1</v>
      </c>
      <c r="CE54" s="16">
        <f t="shared" si="50"/>
        <v>1</v>
      </c>
      <c r="CF54" s="16" t="e">
        <f>SUM(#REF!/(CC54+CB54))</f>
        <v>#REF!</v>
      </c>
      <c r="CG54" s="19"/>
      <c r="CH54" s="19"/>
      <c r="CI54" s="19"/>
      <c r="CJ54" s="19"/>
      <c r="CK54" s="3" t="s">
        <v>165</v>
      </c>
      <c r="CV54" s="346">
        <f t="shared" si="35"/>
        <v>1</v>
      </c>
    </row>
    <row r="55" spans="1:100" s="3" customFormat="1" ht="171" x14ac:dyDescent="0.25">
      <c r="A55" s="351" t="s">
        <v>79</v>
      </c>
      <c r="B55" s="351" t="s">
        <v>80</v>
      </c>
      <c r="C55" s="351" t="s">
        <v>81</v>
      </c>
      <c r="D55" s="351" t="s">
        <v>82</v>
      </c>
      <c r="E55" s="351" t="s">
        <v>83</v>
      </c>
      <c r="F55" s="351" t="s">
        <v>84</v>
      </c>
      <c r="G55" s="368" t="s">
        <v>85</v>
      </c>
      <c r="H55" s="368" t="s">
        <v>86</v>
      </c>
      <c r="I55" s="368" t="s">
        <v>87</v>
      </c>
      <c r="J55" s="368" t="s">
        <v>152</v>
      </c>
      <c r="K55" s="368" t="s">
        <v>11</v>
      </c>
      <c r="L55" s="368" t="s">
        <v>89</v>
      </c>
      <c r="M55" s="368" t="s">
        <v>190</v>
      </c>
      <c r="N55" s="367" t="s">
        <v>91</v>
      </c>
      <c r="O55" s="367" t="s">
        <v>154</v>
      </c>
      <c r="P55" s="930">
        <v>39542136.277533107</v>
      </c>
      <c r="Q55" s="368" t="s">
        <v>94</v>
      </c>
      <c r="R55" s="368" t="s">
        <v>156</v>
      </c>
      <c r="S55" s="478">
        <v>9</v>
      </c>
      <c r="T55" s="479" t="s">
        <v>191</v>
      </c>
      <c r="U55" s="479" t="s">
        <v>158</v>
      </c>
      <c r="V55" s="491" t="s">
        <v>98</v>
      </c>
      <c r="W55" s="501" t="s">
        <v>427</v>
      </c>
      <c r="X55" s="449">
        <v>0</v>
      </c>
      <c r="Y55" s="450">
        <v>0.33</v>
      </c>
      <c r="Z55" s="450">
        <v>0.33</v>
      </c>
      <c r="AA55" s="521">
        <v>0.34</v>
      </c>
      <c r="AB55" s="525">
        <v>7.14</v>
      </c>
      <c r="AC55" s="413">
        <v>1.2987012987012987</v>
      </c>
      <c r="AD55" s="413">
        <v>0.34523785714285715</v>
      </c>
      <c r="AE55" s="413">
        <v>0.37727272727272726</v>
      </c>
      <c r="AF55" s="692">
        <v>0</v>
      </c>
      <c r="AG55" s="693" t="s">
        <v>146</v>
      </c>
      <c r="AH55" s="698">
        <v>0</v>
      </c>
      <c r="AI55" s="696"/>
      <c r="AJ55" s="696"/>
      <c r="AK55" s="693"/>
      <c r="AL55" s="692">
        <f t="shared" si="37"/>
        <v>0</v>
      </c>
      <c r="AM55" s="695" t="s">
        <v>121</v>
      </c>
      <c r="AN55" s="693">
        <f t="shared" si="38"/>
        <v>0</v>
      </c>
      <c r="AO55" s="693">
        <f t="shared" si="39"/>
        <v>0</v>
      </c>
      <c r="AP55" s="693">
        <f t="shared" si="40"/>
        <v>0</v>
      </c>
      <c r="AQ55" s="696"/>
      <c r="AR55" s="401">
        <f t="shared" si="36"/>
        <v>0.33</v>
      </c>
      <c r="AS55" s="402" t="s">
        <v>100</v>
      </c>
      <c r="AT55" s="405">
        <f t="shared" si="54"/>
        <v>1</v>
      </c>
      <c r="AU55" s="406" t="s">
        <v>428</v>
      </c>
      <c r="AV55" s="406"/>
      <c r="AW55" s="729" t="str">
        <f t="shared" si="51"/>
        <v>ALTO</v>
      </c>
      <c r="AX55" s="397">
        <f t="shared" si="41"/>
        <v>0.33</v>
      </c>
      <c r="AY55" s="400" t="s">
        <v>246</v>
      </c>
      <c r="AZ55" s="398">
        <f t="shared" si="42"/>
        <v>2.3561999999999999</v>
      </c>
      <c r="BA55" s="398">
        <f t="shared" si="43"/>
        <v>0.4285714285714286</v>
      </c>
      <c r="BB55" s="398">
        <f t="shared" si="44"/>
        <v>0.11392849285714286</v>
      </c>
      <c r="BC55" s="18"/>
      <c r="BD55" s="14">
        <f t="shared" si="45"/>
        <v>0.33</v>
      </c>
      <c r="BE55" s="645" t="s">
        <v>100</v>
      </c>
      <c r="BF55" s="646">
        <f t="shared" si="55"/>
        <v>1</v>
      </c>
      <c r="BG55" s="674" t="s">
        <v>429</v>
      </c>
      <c r="BH55" s="754"/>
      <c r="BI55" s="658" t="str">
        <f t="shared" si="31"/>
        <v>ALTO</v>
      </c>
      <c r="BJ55" s="681">
        <f t="shared" si="46"/>
        <v>0.33</v>
      </c>
      <c r="BK55" s="680" t="s">
        <v>430</v>
      </c>
      <c r="BL55" s="682">
        <f t="shared" si="19"/>
        <v>4.6218487394957986E-2</v>
      </c>
      <c r="BM55" s="682">
        <f t="shared" si="20"/>
        <v>0.25409999999999999</v>
      </c>
      <c r="BN55" s="682">
        <f t="shared" si="21"/>
        <v>0.95586272818119189</v>
      </c>
      <c r="BO55" s="754"/>
      <c r="BP55" s="853">
        <f t="shared" si="52"/>
        <v>0.34</v>
      </c>
      <c r="BQ55" s="854" t="s">
        <v>105</v>
      </c>
      <c r="BR55" s="855">
        <v>1</v>
      </c>
      <c r="BS55" s="856" t="s">
        <v>429</v>
      </c>
      <c r="BT55" s="858"/>
      <c r="BU55" s="905" t="str">
        <f t="shared" si="47"/>
        <v>ALTO</v>
      </c>
      <c r="BV55" s="875">
        <f t="shared" si="48"/>
        <v>0.34</v>
      </c>
      <c r="BW55" s="854" t="s">
        <v>431</v>
      </c>
      <c r="BX55" s="857">
        <f t="shared" si="24"/>
        <v>2.4276</v>
      </c>
      <c r="BY55" s="857">
        <f t="shared" si="25"/>
        <v>0.44155844155844159</v>
      </c>
      <c r="BZ55" s="857">
        <f t="shared" si="26"/>
        <v>0.11738087142857144</v>
      </c>
      <c r="CA55" s="857">
        <f t="shared" si="27"/>
        <v>0.12827272727272729</v>
      </c>
      <c r="CB55" s="16">
        <f t="shared" si="28"/>
        <v>0.67</v>
      </c>
      <c r="CC55" s="16">
        <f t="shared" si="29"/>
        <v>0.33</v>
      </c>
      <c r="CD55" s="16">
        <f t="shared" si="49"/>
        <v>1</v>
      </c>
      <c r="CE55" s="16">
        <f t="shared" si="50"/>
        <v>1</v>
      </c>
      <c r="CF55" s="16" t="e">
        <f>SUM(#REF!/(CC55+CB55))</f>
        <v>#REF!</v>
      </c>
      <c r="CG55" s="19"/>
      <c r="CH55" s="19"/>
      <c r="CI55" s="19"/>
      <c r="CJ55" s="19"/>
      <c r="CK55" s="3" t="s">
        <v>165</v>
      </c>
      <c r="CV55" s="346">
        <f t="shared" si="35"/>
        <v>1</v>
      </c>
    </row>
    <row r="56" spans="1:100" s="3" customFormat="1" ht="242.25" x14ac:dyDescent="0.25">
      <c r="A56" s="351" t="s">
        <v>79</v>
      </c>
      <c r="B56" s="351" t="s">
        <v>80</v>
      </c>
      <c r="C56" s="351" t="s">
        <v>81</v>
      </c>
      <c r="D56" s="351" t="s">
        <v>82</v>
      </c>
      <c r="E56" s="351" t="s">
        <v>83</v>
      </c>
      <c r="F56" s="351" t="s">
        <v>84</v>
      </c>
      <c r="G56" s="368" t="s">
        <v>85</v>
      </c>
      <c r="H56" s="368" t="s">
        <v>86</v>
      </c>
      <c r="I56" s="368" t="s">
        <v>87</v>
      </c>
      <c r="J56" s="368" t="s">
        <v>432</v>
      </c>
      <c r="K56" s="368" t="s">
        <v>11</v>
      </c>
      <c r="L56" s="368" t="s">
        <v>89</v>
      </c>
      <c r="M56" s="928" t="s">
        <v>195</v>
      </c>
      <c r="N56" s="367" t="s">
        <v>91</v>
      </c>
      <c r="O56" s="367" t="s">
        <v>154</v>
      </c>
      <c r="P56" s="930">
        <v>39542136.277533107</v>
      </c>
      <c r="Q56" s="368" t="s">
        <v>94</v>
      </c>
      <c r="R56" s="368" t="s">
        <v>156</v>
      </c>
      <c r="S56" s="357">
        <v>7</v>
      </c>
      <c r="T56" s="369" t="s">
        <v>196</v>
      </c>
      <c r="U56" s="357" t="s">
        <v>158</v>
      </c>
      <c r="V56" s="370" t="s">
        <v>98</v>
      </c>
      <c r="W56" s="497" t="s">
        <v>197</v>
      </c>
      <c r="X56" s="432">
        <v>0</v>
      </c>
      <c r="Y56" s="432">
        <f>1/7</f>
        <v>0.14285714285714285</v>
      </c>
      <c r="Z56" s="432">
        <f>3/7</f>
        <v>0.42857142857142855</v>
      </c>
      <c r="AA56" s="444">
        <f>3/7</f>
        <v>0.42857142857142855</v>
      </c>
      <c r="AB56" s="525">
        <v>7.14</v>
      </c>
      <c r="AC56" s="413">
        <v>1.2987012987012987</v>
      </c>
      <c r="AD56" s="413">
        <v>0.34523785714285715</v>
      </c>
      <c r="AE56" s="413">
        <v>0.37727272727272726</v>
      </c>
      <c r="AF56" s="692">
        <f>X56</f>
        <v>0</v>
      </c>
      <c r="AG56" s="693" t="s">
        <v>146</v>
      </c>
      <c r="AH56" s="698">
        <v>0</v>
      </c>
      <c r="AI56" s="695"/>
      <c r="AJ56" s="695"/>
      <c r="AK56" s="693"/>
      <c r="AL56" s="692">
        <f t="shared" si="37"/>
        <v>0</v>
      </c>
      <c r="AM56" s="695" t="s">
        <v>121</v>
      </c>
      <c r="AN56" s="693">
        <f t="shared" si="38"/>
        <v>0</v>
      </c>
      <c r="AO56" s="693">
        <f t="shared" si="39"/>
        <v>0</v>
      </c>
      <c r="AP56" s="693">
        <f t="shared" si="40"/>
        <v>0</v>
      </c>
      <c r="AQ56" s="696"/>
      <c r="AR56" s="401">
        <f t="shared" si="36"/>
        <v>0.14285714285714285</v>
      </c>
      <c r="AS56" s="402" t="s">
        <v>100</v>
      </c>
      <c r="AT56" s="405">
        <f t="shared" si="54"/>
        <v>1</v>
      </c>
      <c r="AU56" s="406" t="s">
        <v>433</v>
      </c>
      <c r="AV56" s="406"/>
      <c r="AW56" s="729" t="str">
        <f t="shared" si="51"/>
        <v>ALTO</v>
      </c>
      <c r="AX56" s="397">
        <f t="shared" si="41"/>
        <v>0.14285714285714285</v>
      </c>
      <c r="AY56" s="400" t="s">
        <v>246</v>
      </c>
      <c r="AZ56" s="398">
        <f t="shared" si="42"/>
        <v>1.0199999999999998</v>
      </c>
      <c r="BA56" s="398">
        <f t="shared" si="43"/>
        <v>0.18552875695732837</v>
      </c>
      <c r="BB56" s="398">
        <f t="shared" si="44"/>
        <v>4.9319693877551016E-2</v>
      </c>
      <c r="BC56" s="18"/>
      <c r="BD56" s="14">
        <f t="shared" si="45"/>
        <v>0.42857142857142855</v>
      </c>
      <c r="BE56" s="645" t="s">
        <v>100</v>
      </c>
      <c r="BF56" s="646">
        <f t="shared" si="55"/>
        <v>1</v>
      </c>
      <c r="BG56" s="674" t="s">
        <v>434</v>
      </c>
      <c r="BH56" s="754"/>
      <c r="BI56" s="658" t="str">
        <f t="shared" si="31"/>
        <v>ALTO</v>
      </c>
      <c r="BJ56" s="681">
        <f t="shared" si="46"/>
        <v>0.42857142857142855</v>
      </c>
      <c r="BK56" s="680" t="s">
        <v>435</v>
      </c>
      <c r="BL56" s="682">
        <f t="shared" si="19"/>
        <v>6.0024009603841535E-2</v>
      </c>
      <c r="BM56" s="682">
        <f t="shared" si="20"/>
        <v>0.32999999999999996</v>
      </c>
      <c r="BN56" s="682">
        <f t="shared" si="21"/>
        <v>1.2413801664690802</v>
      </c>
      <c r="BO56" s="754"/>
      <c r="BP56" s="853">
        <f t="shared" si="52"/>
        <v>0.42857142857142855</v>
      </c>
      <c r="BQ56" s="854" t="s">
        <v>105</v>
      </c>
      <c r="BR56" s="855">
        <v>1</v>
      </c>
      <c r="BS56" s="856" t="s">
        <v>436</v>
      </c>
      <c r="BT56" s="858"/>
      <c r="BU56" s="905" t="str">
        <f t="shared" si="47"/>
        <v>ALTO</v>
      </c>
      <c r="BV56" s="875">
        <f t="shared" si="48"/>
        <v>0.42857142857142855</v>
      </c>
      <c r="BW56" s="854" t="s">
        <v>437</v>
      </c>
      <c r="BX56" s="857">
        <f t="shared" si="24"/>
        <v>3.0599999999999996</v>
      </c>
      <c r="BY56" s="857">
        <f t="shared" si="25"/>
        <v>0.55658627087198509</v>
      </c>
      <c r="BZ56" s="857">
        <f t="shared" si="26"/>
        <v>0.14795908163265306</v>
      </c>
      <c r="CA56" s="857">
        <f t="shared" si="27"/>
        <v>0.16168831168831169</v>
      </c>
      <c r="CB56" s="16">
        <f t="shared" si="28"/>
        <v>0.8571428571428571</v>
      </c>
      <c r="CC56" s="16">
        <f t="shared" si="29"/>
        <v>0.14285714285714285</v>
      </c>
      <c r="CD56" s="16">
        <f t="shared" si="49"/>
        <v>1</v>
      </c>
      <c r="CE56" s="16">
        <f t="shared" si="50"/>
        <v>1</v>
      </c>
      <c r="CF56" s="16" t="e">
        <f>SUM(#REF!/(CC56+CB56))</f>
        <v>#REF!</v>
      </c>
      <c r="CG56" s="19"/>
      <c r="CH56" s="19"/>
      <c r="CI56" s="19"/>
      <c r="CJ56" s="19"/>
      <c r="CK56" s="3" t="s">
        <v>165</v>
      </c>
      <c r="CV56" s="346">
        <f t="shared" si="35"/>
        <v>1</v>
      </c>
    </row>
    <row r="57" spans="1:100" s="3" customFormat="1" ht="242.25" x14ac:dyDescent="0.25">
      <c r="A57" s="351" t="s">
        <v>79</v>
      </c>
      <c r="B57" s="351" t="s">
        <v>80</v>
      </c>
      <c r="C57" s="351" t="s">
        <v>81</v>
      </c>
      <c r="D57" s="351" t="s">
        <v>82</v>
      </c>
      <c r="E57" s="351" t="s">
        <v>83</v>
      </c>
      <c r="F57" s="351" t="s">
        <v>84</v>
      </c>
      <c r="G57" s="368" t="s">
        <v>85</v>
      </c>
      <c r="H57" s="368" t="s">
        <v>86</v>
      </c>
      <c r="I57" s="368" t="s">
        <v>87</v>
      </c>
      <c r="J57" s="368" t="s">
        <v>432</v>
      </c>
      <c r="K57" s="368" t="s">
        <v>11</v>
      </c>
      <c r="L57" s="368" t="s">
        <v>89</v>
      </c>
      <c r="M57" s="928" t="s">
        <v>201</v>
      </c>
      <c r="N57" s="367" t="s">
        <v>91</v>
      </c>
      <c r="O57" s="367" t="s">
        <v>202</v>
      </c>
      <c r="P57" s="930">
        <v>39542136.277533107</v>
      </c>
      <c r="Q57" s="368" t="s">
        <v>94</v>
      </c>
      <c r="R57" s="368" t="s">
        <v>156</v>
      </c>
      <c r="S57" s="480">
        <v>1</v>
      </c>
      <c r="T57" s="479" t="s">
        <v>201</v>
      </c>
      <c r="U57" s="479" t="s">
        <v>204</v>
      </c>
      <c r="V57" s="491" t="s">
        <v>98</v>
      </c>
      <c r="W57" s="501" t="s">
        <v>205</v>
      </c>
      <c r="X57" s="432">
        <v>0</v>
      </c>
      <c r="Y57" s="432">
        <v>0</v>
      </c>
      <c r="Z57" s="432">
        <v>0</v>
      </c>
      <c r="AA57" s="521">
        <v>1</v>
      </c>
      <c r="AB57" s="525">
        <v>7.14</v>
      </c>
      <c r="AC57" s="413">
        <v>1.2987012987012987</v>
      </c>
      <c r="AD57" s="413">
        <v>0.34523785714285715</v>
      </c>
      <c r="AE57" s="413">
        <v>0.37727272727272726</v>
      </c>
      <c r="AF57" s="692">
        <v>0</v>
      </c>
      <c r="AG57" s="693" t="s">
        <v>146</v>
      </c>
      <c r="AH57" s="698">
        <v>0</v>
      </c>
      <c r="AI57" s="695"/>
      <c r="AJ57" s="695"/>
      <c r="AK57" s="693"/>
      <c r="AL57" s="692">
        <f t="shared" si="37"/>
        <v>0</v>
      </c>
      <c r="AM57" s="695" t="s">
        <v>121</v>
      </c>
      <c r="AN57" s="693">
        <f t="shared" si="38"/>
        <v>0</v>
      </c>
      <c r="AO57" s="693">
        <f t="shared" si="39"/>
        <v>0</v>
      </c>
      <c r="AP57" s="693">
        <f t="shared" si="40"/>
        <v>0</v>
      </c>
      <c r="AQ57" s="696"/>
      <c r="AR57" s="401">
        <v>0</v>
      </c>
      <c r="AS57" s="402" t="s">
        <v>146</v>
      </c>
      <c r="AT57" s="408">
        <v>0</v>
      </c>
      <c r="AU57" s="404"/>
      <c r="AV57" s="404"/>
      <c r="AW57" s="729"/>
      <c r="AX57" s="397">
        <f t="shared" si="41"/>
        <v>0</v>
      </c>
      <c r="AY57" s="400" t="s">
        <v>121</v>
      </c>
      <c r="AZ57" s="398">
        <f t="shared" si="42"/>
        <v>0</v>
      </c>
      <c r="BA57" s="398">
        <f t="shared" si="43"/>
        <v>0</v>
      </c>
      <c r="BB57" s="398">
        <f t="shared" si="44"/>
        <v>0</v>
      </c>
      <c r="BC57" s="18"/>
      <c r="BD57" s="14">
        <f t="shared" si="45"/>
        <v>0</v>
      </c>
      <c r="BE57" s="645" t="s">
        <v>146</v>
      </c>
      <c r="BF57" s="673"/>
      <c r="BG57" s="676" t="s">
        <v>121</v>
      </c>
      <c r="BH57" s="754"/>
      <c r="BI57" s="658" t="str">
        <f t="shared" si="31"/>
        <v>BAJO</v>
      </c>
      <c r="BJ57" s="681">
        <f t="shared" si="46"/>
        <v>0</v>
      </c>
      <c r="BK57" s="754" t="s">
        <v>355</v>
      </c>
      <c r="BL57" s="682">
        <f t="shared" si="19"/>
        <v>0</v>
      </c>
      <c r="BM57" s="682">
        <f t="shared" si="20"/>
        <v>0</v>
      </c>
      <c r="BN57" s="682">
        <f t="shared" si="21"/>
        <v>0</v>
      </c>
      <c r="BO57" s="754"/>
      <c r="BP57" s="853">
        <f t="shared" si="52"/>
        <v>1</v>
      </c>
      <c r="BQ57" s="854" t="s">
        <v>105</v>
      </c>
      <c r="BR57" s="855">
        <v>1</v>
      </c>
      <c r="BS57" s="856" t="s">
        <v>438</v>
      </c>
      <c r="BT57" s="858"/>
      <c r="BU57" s="905" t="str">
        <f t="shared" si="47"/>
        <v>ALTO</v>
      </c>
      <c r="BV57" s="875">
        <f t="shared" si="48"/>
        <v>1</v>
      </c>
      <c r="BW57" s="854" t="s">
        <v>439</v>
      </c>
      <c r="BX57" s="857">
        <f t="shared" si="24"/>
        <v>7.14</v>
      </c>
      <c r="BY57" s="857">
        <f t="shared" si="25"/>
        <v>1.2987012987012987</v>
      </c>
      <c r="BZ57" s="857">
        <f t="shared" si="26"/>
        <v>0.34523785714285715</v>
      </c>
      <c r="CA57" s="857">
        <f t="shared" si="27"/>
        <v>0.37727272727272726</v>
      </c>
      <c r="CB57" s="16">
        <f t="shared" si="28"/>
        <v>1</v>
      </c>
      <c r="CC57" s="16">
        <f t="shared" si="29"/>
        <v>0</v>
      </c>
      <c r="CD57" s="16">
        <f t="shared" si="49"/>
        <v>1</v>
      </c>
      <c r="CE57" s="16">
        <f t="shared" si="50"/>
        <v>1</v>
      </c>
      <c r="CF57" s="16" t="e">
        <f>SUM(#REF!/(CC57+CB57))</f>
        <v>#REF!</v>
      </c>
      <c r="CG57" s="19"/>
      <c r="CH57" s="19"/>
      <c r="CI57" s="19"/>
      <c r="CJ57" s="19"/>
      <c r="CK57" s="3" t="s">
        <v>165</v>
      </c>
      <c r="CV57" s="346">
        <f t="shared" ref="CV57:CV88" si="56">SUM(X57:AA57)</f>
        <v>1</v>
      </c>
    </row>
    <row r="58" spans="1:100" s="3" customFormat="1" ht="409.5" customHeight="1" x14ac:dyDescent="0.25">
      <c r="A58" s="350" t="s">
        <v>79</v>
      </c>
      <c r="B58" s="350" t="s">
        <v>80</v>
      </c>
      <c r="C58" s="350" t="s">
        <v>81</v>
      </c>
      <c r="D58" s="350" t="s">
        <v>82</v>
      </c>
      <c r="E58" s="350" t="s">
        <v>83</v>
      </c>
      <c r="F58" s="350" t="s">
        <v>84</v>
      </c>
      <c r="G58" s="350" t="s">
        <v>85</v>
      </c>
      <c r="H58" s="350" t="s">
        <v>440</v>
      </c>
      <c r="I58" s="350" t="s">
        <v>441</v>
      </c>
      <c r="J58" s="350" t="s">
        <v>432</v>
      </c>
      <c r="K58" s="689" t="s">
        <v>442</v>
      </c>
      <c r="L58" s="364" t="s">
        <v>89</v>
      </c>
      <c r="M58" s="456" t="s">
        <v>443</v>
      </c>
      <c r="N58" s="361" t="s">
        <v>444</v>
      </c>
      <c r="O58" s="361" t="s">
        <v>445</v>
      </c>
      <c r="P58" s="922">
        <v>39542136.277533107</v>
      </c>
      <c r="Q58" s="364" t="s">
        <v>94</v>
      </c>
      <c r="R58" s="364" t="s">
        <v>213</v>
      </c>
      <c r="S58" s="481">
        <v>400</v>
      </c>
      <c r="T58" s="476" t="s">
        <v>446</v>
      </c>
      <c r="U58" s="476" t="s">
        <v>447</v>
      </c>
      <c r="V58" s="481" t="s">
        <v>119</v>
      </c>
      <c r="W58" s="500" t="s">
        <v>448</v>
      </c>
      <c r="X58" s="436">
        <v>0</v>
      </c>
      <c r="Y58" s="436">
        <v>0.25</v>
      </c>
      <c r="Z58" s="436">
        <v>0.25</v>
      </c>
      <c r="AA58" s="515">
        <v>0.5</v>
      </c>
      <c r="AB58" s="525">
        <v>7.7</v>
      </c>
      <c r="AC58" s="413">
        <v>1.2987012987012987</v>
      </c>
      <c r="AD58" s="413">
        <v>0.37179461538461539</v>
      </c>
      <c r="AE58" s="413">
        <v>0.33333333333333331</v>
      </c>
      <c r="AF58" s="692">
        <f t="shared" ref="AF58:AF121" si="57">X58</f>
        <v>0</v>
      </c>
      <c r="AG58" s="693" t="s">
        <v>146</v>
      </c>
      <c r="AH58" s="698">
        <v>0</v>
      </c>
      <c r="AI58" s="695"/>
      <c r="AJ58" s="695"/>
      <c r="AK58" s="693"/>
      <c r="AL58" s="692">
        <f t="shared" si="37"/>
        <v>0</v>
      </c>
      <c r="AM58" s="695" t="s">
        <v>121</v>
      </c>
      <c r="AN58" s="693">
        <f t="shared" si="38"/>
        <v>0</v>
      </c>
      <c r="AO58" s="693">
        <f t="shared" si="39"/>
        <v>0</v>
      </c>
      <c r="AP58" s="693">
        <f t="shared" si="40"/>
        <v>0</v>
      </c>
      <c r="AQ58" s="696"/>
      <c r="AR58" s="401">
        <f t="shared" ref="AR58:AR121" si="58">Y58</f>
        <v>0.25</v>
      </c>
      <c r="AS58" s="402" t="s">
        <v>100</v>
      </c>
      <c r="AT58" s="625">
        <f>1/1</f>
        <v>1</v>
      </c>
      <c r="AU58" s="642" t="s">
        <v>449</v>
      </c>
      <c r="AV58" s="407" t="s">
        <v>450</v>
      </c>
      <c r="AW58" s="729" t="str">
        <f t="shared" si="51"/>
        <v>ALTO</v>
      </c>
      <c r="AX58" s="397">
        <f t="shared" si="41"/>
        <v>0.25</v>
      </c>
      <c r="AY58" s="400" t="s">
        <v>451</v>
      </c>
      <c r="AZ58" s="398">
        <f t="shared" si="42"/>
        <v>1.925</v>
      </c>
      <c r="BA58" s="398">
        <f t="shared" si="43"/>
        <v>0.32467532467532467</v>
      </c>
      <c r="BB58" s="398">
        <f t="shared" si="44"/>
        <v>9.2948653846153848E-2</v>
      </c>
      <c r="BC58" s="18"/>
      <c r="BD58" s="14">
        <f t="shared" si="45"/>
        <v>0.25</v>
      </c>
      <c r="BE58" s="677" t="s">
        <v>100</v>
      </c>
      <c r="BF58" s="679">
        <f>29/29</f>
        <v>1</v>
      </c>
      <c r="BG58" s="680" t="s">
        <v>452</v>
      </c>
      <c r="BH58" s="752" t="s">
        <v>453</v>
      </c>
      <c r="BI58" s="658" t="str">
        <f t="shared" si="31"/>
        <v>ALTO</v>
      </c>
      <c r="BJ58" s="681">
        <f t="shared" si="46"/>
        <v>0.25</v>
      </c>
      <c r="BK58" s="680" t="s">
        <v>454</v>
      </c>
      <c r="BL58" s="682">
        <f t="shared" si="19"/>
        <v>3.2467532467532464E-2</v>
      </c>
      <c r="BM58" s="682">
        <f t="shared" si="20"/>
        <v>0.1925</v>
      </c>
      <c r="BN58" s="682">
        <f t="shared" si="21"/>
        <v>0.67241425683741851</v>
      </c>
      <c r="BO58" s="754"/>
      <c r="BP58" s="853">
        <f t="shared" si="52"/>
        <v>0.5</v>
      </c>
      <c r="BQ58" s="854" t="s">
        <v>105</v>
      </c>
      <c r="BR58" s="855">
        <v>1</v>
      </c>
      <c r="BS58" s="856" t="s">
        <v>429</v>
      </c>
      <c r="BT58" s="858"/>
      <c r="BU58" s="905" t="str">
        <f t="shared" si="47"/>
        <v>ALTO</v>
      </c>
      <c r="BV58" s="875">
        <f t="shared" si="48"/>
        <v>0.5</v>
      </c>
      <c r="BW58" s="854"/>
      <c r="BX58" s="857">
        <f t="shared" si="24"/>
        <v>3.85</v>
      </c>
      <c r="BY58" s="857">
        <f t="shared" si="25"/>
        <v>0.64935064935064934</v>
      </c>
      <c r="BZ58" s="857">
        <f t="shared" si="26"/>
        <v>0.1858973076923077</v>
      </c>
      <c r="CA58" s="857">
        <f t="shared" si="27"/>
        <v>0.16666666666666666</v>
      </c>
      <c r="CB58" s="16">
        <f t="shared" si="28"/>
        <v>0.75</v>
      </c>
      <c r="CC58" s="16">
        <f t="shared" si="29"/>
        <v>0.25</v>
      </c>
      <c r="CD58" s="16">
        <f t="shared" si="49"/>
        <v>1</v>
      </c>
      <c r="CE58" s="16">
        <f t="shared" si="50"/>
        <v>1</v>
      </c>
      <c r="CF58" s="16" t="e">
        <f>SUM(#REF!/(CC58+CB58))</f>
        <v>#REF!</v>
      </c>
      <c r="CG58" s="19"/>
      <c r="CH58" s="19"/>
      <c r="CI58" s="19"/>
      <c r="CJ58" s="19"/>
      <c r="CV58" s="346">
        <f t="shared" si="56"/>
        <v>1</v>
      </c>
    </row>
    <row r="59" spans="1:100" s="3" customFormat="1" ht="409.5" customHeight="1" x14ac:dyDescent="0.25">
      <c r="A59" s="350" t="s">
        <v>79</v>
      </c>
      <c r="B59" s="350" t="s">
        <v>80</v>
      </c>
      <c r="C59" s="350" t="s">
        <v>81</v>
      </c>
      <c r="D59" s="350" t="s">
        <v>82</v>
      </c>
      <c r="E59" s="350" t="s">
        <v>83</v>
      </c>
      <c r="F59" s="350" t="s">
        <v>84</v>
      </c>
      <c r="G59" s="350" t="s">
        <v>85</v>
      </c>
      <c r="H59" s="350" t="s">
        <v>440</v>
      </c>
      <c r="I59" s="350" t="s">
        <v>441</v>
      </c>
      <c r="J59" s="350" t="s">
        <v>432</v>
      </c>
      <c r="K59" s="689" t="s">
        <v>442</v>
      </c>
      <c r="L59" s="364" t="s">
        <v>89</v>
      </c>
      <c r="M59" s="456" t="s">
        <v>455</v>
      </c>
      <c r="N59" s="361" t="s">
        <v>444</v>
      </c>
      <c r="O59" s="361" t="s">
        <v>211</v>
      </c>
      <c r="P59" s="922">
        <v>39542136.277533107</v>
      </c>
      <c r="Q59" s="364" t="s">
        <v>94</v>
      </c>
      <c r="R59" s="364" t="s">
        <v>213</v>
      </c>
      <c r="S59" s="352">
        <v>1</v>
      </c>
      <c r="T59" s="476" t="s">
        <v>456</v>
      </c>
      <c r="U59" s="476" t="s">
        <v>457</v>
      </c>
      <c r="V59" s="481" t="s">
        <v>119</v>
      </c>
      <c r="W59" s="502" t="s">
        <v>458</v>
      </c>
      <c r="X59" s="436">
        <v>0</v>
      </c>
      <c r="Y59" s="436">
        <v>0.33</v>
      </c>
      <c r="Z59" s="437">
        <v>0.33</v>
      </c>
      <c r="AA59" s="520">
        <v>0.34</v>
      </c>
      <c r="AB59" s="525">
        <v>7.7</v>
      </c>
      <c r="AC59" s="413">
        <v>1.2987012987012987</v>
      </c>
      <c r="AD59" s="413">
        <v>0.37179461538461539</v>
      </c>
      <c r="AE59" s="413">
        <v>0.33333333333333331</v>
      </c>
      <c r="AF59" s="692">
        <f t="shared" si="57"/>
        <v>0</v>
      </c>
      <c r="AG59" s="693" t="s">
        <v>146</v>
      </c>
      <c r="AH59" s="698">
        <v>0</v>
      </c>
      <c r="AI59" s="696"/>
      <c r="AJ59" s="696"/>
      <c r="AK59" s="693"/>
      <c r="AL59" s="692">
        <f t="shared" si="37"/>
        <v>0</v>
      </c>
      <c r="AM59" s="695" t="s">
        <v>121</v>
      </c>
      <c r="AN59" s="693">
        <f t="shared" si="38"/>
        <v>0</v>
      </c>
      <c r="AO59" s="693">
        <f t="shared" si="39"/>
        <v>0</v>
      </c>
      <c r="AP59" s="693">
        <f t="shared" si="40"/>
        <v>0</v>
      </c>
      <c r="AQ59" s="696"/>
      <c r="AR59" s="401">
        <f t="shared" si="58"/>
        <v>0.33</v>
      </c>
      <c r="AS59" s="402" t="s">
        <v>100</v>
      </c>
      <c r="AT59" s="405">
        <f>1/1</f>
        <v>1</v>
      </c>
      <c r="AU59" s="407" t="s">
        <v>459</v>
      </c>
      <c r="AV59" s="407" t="s">
        <v>460</v>
      </c>
      <c r="AW59" s="729" t="str">
        <f t="shared" si="51"/>
        <v>ALTO</v>
      </c>
      <c r="AX59" s="397">
        <f t="shared" si="41"/>
        <v>0.33</v>
      </c>
      <c r="AY59" s="400" t="s">
        <v>451</v>
      </c>
      <c r="AZ59" s="398">
        <f t="shared" si="42"/>
        <v>2.5410000000000004</v>
      </c>
      <c r="BA59" s="398">
        <f t="shared" si="43"/>
        <v>0.4285714285714286</v>
      </c>
      <c r="BB59" s="398">
        <f t="shared" si="44"/>
        <v>0.12269222307692308</v>
      </c>
      <c r="BC59" s="18"/>
      <c r="BD59" s="14">
        <f t="shared" si="45"/>
        <v>0.33</v>
      </c>
      <c r="BE59" s="677" t="s">
        <v>100</v>
      </c>
      <c r="BF59" s="679">
        <f>1/1</f>
        <v>1</v>
      </c>
      <c r="BG59" s="680" t="s">
        <v>461</v>
      </c>
      <c r="BH59" s="752" t="s">
        <v>462</v>
      </c>
      <c r="BI59" s="658" t="str">
        <f t="shared" si="31"/>
        <v>ALTO</v>
      </c>
      <c r="BJ59" s="681">
        <f t="shared" si="46"/>
        <v>0.33</v>
      </c>
      <c r="BK59" s="680" t="s">
        <v>463</v>
      </c>
      <c r="BL59" s="682">
        <f t="shared" si="19"/>
        <v>4.2857142857142858E-2</v>
      </c>
      <c r="BM59" s="682">
        <f t="shared" si="20"/>
        <v>0.25409999999999999</v>
      </c>
      <c r="BN59" s="682">
        <f t="shared" si="21"/>
        <v>0.88758681902539249</v>
      </c>
      <c r="BO59" s="754"/>
      <c r="BP59" s="853">
        <f t="shared" si="52"/>
        <v>0.34</v>
      </c>
      <c r="BQ59" s="854" t="s">
        <v>105</v>
      </c>
      <c r="BR59" s="855">
        <v>1</v>
      </c>
      <c r="BS59" s="856" t="s">
        <v>436</v>
      </c>
      <c r="BT59" s="858"/>
      <c r="BU59" s="905" t="str">
        <f t="shared" si="47"/>
        <v>ALTO</v>
      </c>
      <c r="BV59" s="875">
        <f t="shared" si="48"/>
        <v>0.34</v>
      </c>
      <c r="BW59" s="854"/>
      <c r="BX59" s="857">
        <f t="shared" si="24"/>
        <v>2.6180000000000003</v>
      </c>
      <c r="BY59" s="857">
        <f t="shared" si="25"/>
        <v>0.44155844155844159</v>
      </c>
      <c r="BZ59" s="857">
        <f t="shared" si="26"/>
        <v>0.12641016923076925</v>
      </c>
      <c r="CA59" s="857">
        <f t="shared" si="27"/>
        <v>0.11333333333333334</v>
      </c>
      <c r="CB59" s="16">
        <f t="shared" si="28"/>
        <v>0.67</v>
      </c>
      <c r="CC59" s="16">
        <f t="shared" si="29"/>
        <v>0.33</v>
      </c>
      <c r="CD59" s="16">
        <f t="shared" si="49"/>
        <v>1</v>
      </c>
      <c r="CE59" s="16">
        <f t="shared" si="50"/>
        <v>1</v>
      </c>
      <c r="CF59" s="16" t="e">
        <f>SUM(#REF!/(CC59+CB59))</f>
        <v>#REF!</v>
      </c>
      <c r="CG59" s="19"/>
      <c r="CH59" s="19"/>
      <c r="CI59" s="19"/>
      <c r="CJ59" s="19"/>
      <c r="CV59" s="346">
        <f t="shared" si="56"/>
        <v>1</v>
      </c>
    </row>
    <row r="60" spans="1:100" s="3" customFormat="1" ht="409.5" customHeight="1" x14ac:dyDescent="0.25">
      <c r="A60" s="350" t="s">
        <v>79</v>
      </c>
      <c r="B60" s="350" t="s">
        <v>80</v>
      </c>
      <c r="C60" s="350" t="s">
        <v>81</v>
      </c>
      <c r="D60" s="350" t="s">
        <v>82</v>
      </c>
      <c r="E60" s="350" t="s">
        <v>83</v>
      </c>
      <c r="F60" s="350" t="s">
        <v>84</v>
      </c>
      <c r="G60" s="350" t="s">
        <v>85</v>
      </c>
      <c r="H60" s="350" t="s">
        <v>440</v>
      </c>
      <c r="I60" s="350" t="s">
        <v>441</v>
      </c>
      <c r="J60" s="350" t="s">
        <v>432</v>
      </c>
      <c r="K60" s="364" t="s">
        <v>442</v>
      </c>
      <c r="L60" s="364" t="s">
        <v>89</v>
      </c>
      <c r="M60" s="456" t="s">
        <v>464</v>
      </c>
      <c r="N60" s="361" t="s">
        <v>444</v>
      </c>
      <c r="O60" s="361" t="s">
        <v>465</v>
      </c>
      <c r="P60" s="922">
        <v>39542136.277533107</v>
      </c>
      <c r="Q60" s="364" t="s">
        <v>94</v>
      </c>
      <c r="R60" s="364" t="s">
        <v>213</v>
      </c>
      <c r="S60" s="347">
        <v>1</v>
      </c>
      <c r="T60" s="482" t="s">
        <v>466</v>
      </c>
      <c r="U60" s="476" t="s">
        <v>467</v>
      </c>
      <c r="V60" s="364" t="s">
        <v>98</v>
      </c>
      <c r="W60" s="502" t="s">
        <v>468</v>
      </c>
      <c r="X60" s="436">
        <v>0.25</v>
      </c>
      <c r="Y60" s="436">
        <v>0.25</v>
      </c>
      <c r="Z60" s="436">
        <v>0.25</v>
      </c>
      <c r="AA60" s="515">
        <v>0.25</v>
      </c>
      <c r="AB60" s="525">
        <v>7.7</v>
      </c>
      <c r="AC60" s="413">
        <v>1.2987012987012987</v>
      </c>
      <c r="AD60" s="413">
        <v>0.37179461538461539</v>
      </c>
      <c r="AE60" s="413">
        <v>0.33333333333333331</v>
      </c>
      <c r="AF60" s="692">
        <f t="shared" si="57"/>
        <v>0.25</v>
      </c>
      <c r="AG60" s="693" t="s">
        <v>100</v>
      </c>
      <c r="AH60" s="698">
        <v>0</v>
      </c>
      <c r="AI60" s="696"/>
      <c r="AJ60" s="696"/>
      <c r="AK60" s="693" t="str">
        <f>+IF(AND(AH60&gt;=0%,AH60&lt;=60%),"BAJO",IF(AND(AH60&gt;=61%,AH60&lt;=80%),"MEDIO","ALTO"))</f>
        <v>BAJO</v>
      </c>
      <c r="AL60" s="692">
        <f t="shared" si="37"/>
        <v>0</v>
      </c>
      <c r="AM60" s="695" t="s">
        <v>121</v>
      </c>
      <c r="AN60" s="693">
        <f t="shared" si="38"/>
        <v>0</v>
      </c>
      <c r="AO60" s="693">
        <f t="shared" si="39"/>
        <v>0</v>
      </c>
      <c r="AP60" s="693">
        <f t="shared" si="40"/>
        <v>0</v>
      </c>
      <c r="AQ60" s="696"/>
      <c r="AR60" s="401">
        <f t="shared" si="58"/>
        <v>0.25</v>
      </c>
      <c r="AS60" s="402" t="s">
        <v>100</v>
      </c>
      <c r="AT60" s="405">
        <f>1/1</f>
        <v>1</v>
      </c>
      <c r="AU60" s="407" t="s">
        <v>469</v>
      </c>
      <c r="AV60" s="407" t="s">
        <v>470</v>
      </c>
      <c r="AW60" s="729" t="str">
        <f t="shared" si="51"/>
        <v>ALTO</v>
      </c>
      <c r="AX60" s="397">
        <f t="shared" si="41"/>
        <v>0.25</v>
      </c>
      <c r="AY60" s="400" t="s">
        <v>471</v>
      </c>
      <c r="AZ60" s="398">
        <f t="shared" si="42"/>
        <v>1.925</v>
      </c>
      <c r="BA60" s="398">
        <f t="shared" si="43"/>
        <v>0.32467532467532467</v>
      </c>
      <c r="BB60" s="398">
        <f t="shared" si="44"/>
        <v>9.2948653846153848E-2</v>
      </c>
      <c r="BC60" s="18"/>
      <c r="BD60" s="14">
        <f t="shared" si="45"/>
        <v>0.25</v>
      </c>
      <c r="BE60" s="677" t="s">
        <v>100</v>
      </c>
      <c r="BF60" s="681">
        <v>0.5</v>
      </c>
      <c r="BG60" s="680" t="s">
        <v>472</v>
      </c>
      <c r="BH60" s="752" t="s">
        <v>473</v>
      </c>
      <c r="BI60" s="658" t="str">
        <f t="shared" si="31"/>
        <v>BAJO</v>
      </c>
      <c r="BJ60" s="681">
        <f t="shared" si="46"/>
        <v>0.125</v>
      </c>
      <c r="BK60" s="680" t="s">
        <v>474</v>
      </c>
      <c r="BL60" s="682">
        <f t="shared" si="19"/>
        <v>1.6233766233766232E-2</v>
      </c>
      <c r="BM60" s="682">
        <f t="shared" si="20"/>
        <v>9.6250000000000002E-2</v>
      </c>
      <c r="BN60" s="682">
        <f t="shared" si="21"/>
        <v>0.33620712841870926</v>
      </c>
      <c r="BO60" s="754"/>
      <c r="BP60" s="853">
        <f t="shared" si="52"/>
        <v>0.25</v>
      </c>
      <c r="BQ60" s="854" t="s">
        <v>105</v>
      </c>
      <c r="BR60" s="855">
        <v>1</v>
      </c>
      <c r="BS60" s="856" t="s">
        <v>438</v>
      </c>
      <c r="BT60" s="858"/>
      <c r="BU60" s="905" t="str">
        <f t="shared" si="47"/>
        <v>ALTO</v>
      </c>
      <c r="BV60" s="875">
        <f t="shared" si="48"/>
        <v>0.25</v>
      </c>
      <c r="BW60" s="854"/>
      <c r="BX60" s="857">
        <f t="shared" si="24"/>
        <v>1.925</v>
      </c>
      <c r="BY60" s="857">
        <f t="shared" si="25"/>
        <v>0.32467532467532467</v>
      </c>
      <c r="BZ60" s="857">
        <f t="shared" si="26"/>
        <v>9.2948653846153848E-2</v>
      </c>
      <c r="CA60" s="857">
        <f t="shared" si="27"/>
        <v>8.3333333333333329E-2</v>
      </c>
      <c r="CB60" s="16">
        <f t="shared" si="28"/>
        <v>0.5</v>
      </c>
      <c r="CC60" s="16">
        <f t="shared" si="29"/>
        <v>0.5</v>
      </c>
      <c r="CD60" s="16">
        <f t="shared" si="49"/>
        <v>1</v>
      </c>
      <c r="CE60" s="16">
        <f t="shared" si="50"/>
        <v>0.625</v>
      </c>
      <c r="CF60" s="16" t="e">
        <f>SUM(#REF!/(CC60+CB60))</f>
        <v>#REF!</v>
      </c>
      <c r="CG60" s="19"/>
      <c r="CH60" s="19"/>
      <c r="CI60" s="19"/>
      <c r="CJ60" s="19"/>
      <c r="CV60" s="346">
        <f t="shared" si="56"/>
        <v>1</v>
      </c>
    </row>
    <row r="61" spans="1:100" s="3" customFormat="1" ht="242.25" x14ac:dyDescent="0.25">
      <c r="A61" s="350" t="s">
        <v>79</v>
      </c>
      <c r="B61" s="350" t="s">
        <v>80</v>
      </c>
      <c r="C61" s="350" t="s">
        <v>81</v>
      </c>
      <c r="D61" s="350" t="s">
        <v>82</v>
      </c>
      <c r="E61" s="350" t="s">
        <v>83</v>
      </c>
      <c r="F61" s="350" t="s">
        <v>84</v>
      </c>
      <c r="G61" s="350" t="s">
        <v>85</v>
      </c>
      <c r="H61" s="350" t="s">
        <v>440</v>
      </c>
      <c r="I61" s="350" t="s">
        <v>441</v>
      </c>
      <c r="J61" s="350" t="s">
        <v>432</v>
      </c>
      <c r="K61" s="364" t="s">
        <v>442</v>
      </c>
      <c r="L61" s="364" t="s">
        <v>89</v>
      </c>
      <c r="M61" s="456" t="s">
        <v>475</v>
      </c>
      <c r="N61" s="361" t="s">
        <v>444</v>
      </c>
      <c r="O61" s="361" t="s">
        <v>445</v>
      </c>
      <c r="P61" s="922">
        <v>39542136.277533107</v>
      </c>
      <c r="Q61" s="364" t="s">
        <v>94</v>
      </c>
      <c r="R61" s="364" t="s">
        <v>213</v>
      </c>
      <c r="S61" s="365">
        <v>5</v>
      </c>
      <c r="T61" s="482" t="s">
        <v>476</v>
      </c>
      <c r="U61" s="476" t="s">
        <v>477</v>
      </c>
      <c r="V61" s="492" t="s">
        <v>98</v>
      </c>
      <c r="W61" s="502" t="s">
        <v>478</v>
      </c>
      <c r="X61" s="436">
        <v>0</v>
      </c>
      <c r="Y61" s="436">
        <f>2/5</f>
        <v>0.4</v>
      </c>
      <c r="Z61" s="436">
        <f>1/5</f>
        <v>0.2</v>
      </c>
      <c r="AA61" s="515">
        <f>2/5</f>
        <v>0.4</v>
      </c>
      <c r="AB61" s="525">
        <v>7.69</v>
      </c>
      <c r="AC61" s="413">
        <v>1.2987012987012987</v>
      </c>
      <c r="AD61" s="413">
        <v>0.37179461538461539</v>
      </c>
      <c r="AE61" s="413">
        <v>0.33333333333333331</v>
      </c>
      <c r="AF61" s="692">
        <f t="shared" si="57"/>
        <v>0</v>
      </c>
      <c r="AG61" s="693" t="s">
        <v>146</v>
      </c>
      <c r="AH61" s="698">
        <v>0</v>
      </c>
      <c r="AI61" s="695"/>
      <c r="AJ61" s="695"/>
      <c r="AK61" s="693"/>
      <c r="AL61" s="692">
        <f t="shared" si="37"/>
        <v>0</v>
      </c>
      <c r="AM61" s="695" t="s">
        <v>121</v>
      </c>
      <c r="AN61" s="693">
        <f t="shared" si="38"/>
        <v>0</v>
      </c>
      <c r="AO61" s="693">
        <f t="shared" si="39"/>
        <v>0</v>
      </c>
      <c r="AP61" s="693">
        <f t="shared" si="40"/>
        <v>0</v>
      </c>
      <c r="AQ61" s="696"/>
      <c r="AR61" s="401">
        <f t="shared" si="58"/>
        <v>0.4</v>
      </c>
      <c r="AS61" s="402" t="s">
        <v>100</v>
      </c>
      <c r="AT61" s="405">
        <f>2/2</f>
        <v>1</v>
      </c>
      <c r="AU61" s="407" t="s">
        <v>479</v>
      </c>
      <c r="AV61" s="407" t="s">
        <v>480</v>
      </c>
      <c r="AW61" s="729" t="str">
        <f t="shared" si="51"/>
        <v>ALTO</v>
      </c>
      <c r="AX61" s="397">
        <f t="shared" si="41"/>
        <v>0.4</v>
      </c>
      <c r="AY61" s="400" t="s">
        <v>102</v>
      </c>
      <c r="AZ61" s="398">
        <f t="shared" si="42"/>
        <v>3.0760000000000005</v>
      </c>
      <c r="BA61" s="398">
        <f t="shared" si="43"/>
        <v>0.51948051948051954</v>
      </c>
      <c r="BB61" s="398">
        <f t="shared" si="44"/>
        <v>0.14871784615384617</v>
      </c>
      <c r="BC61" s="18"/>
      <c r="BD61" s="14">
        <f t="shared" si="45"/>
        <v>0.2</v>
      </c>
      <c r="BE61" s="677" t="s">
        <v>481</v>
      </c>
      <c r="BF61" s="681">
        <f>1/1</f>
        <v>1</v>
      </c>
      <c r="BG61" s="680" t="s">
        <v>482</v>
      </c>
      <c r="BH61" s="752" t="s">
        <v>483</v>
      </c>
      <c r="BI61" s="658" t="str">
        <f t="shared" si="31"/>
        <v>ALTO</v>
      </c>
      <c r="BJ61" s="681">
        <f t="shared" si="46"/>
        <v>0.2</v>
      </c>
      <c r="BK61" s="680" t="s">
        <v>484</v>
      </c>
      <c r="BL61" s="682">
        <f t="shared" si="19"/>
        <v>2.600780234070221E-2</v>
      </c>
      <c r="BM61" s="682">
        <f t="shared" si="20"/>
        <v>0.154</v>
      </c>
      <c r="BN61" s="682">
        <f t="shared" si="21"/>
        <v>0.53793140546993479</v>
      </c>
      <c r="BO61" s="754"/>
      <c r="BP61" s="853">
        <f t="shared" si="52"/>
        <v>0.4</v>
      </c>
      <c r="BQ61" s="854" t="s">
        <v>105</v>
      </c>
      <c r="BR61" s="871">
        <f>2/100</f>
        <v>0.02</v>
      </c>
      <c r="BS61" s="859" t="s">
        <v>485</v>
      </c>
      <c r="BT61" s="872" t="s">
        <v>486</v>
      </c>
      <c r="BU61" s="907" t="str">
        <f t="shared" si="47"/>
        <v>BAJO</v>
      </c>
      <c r="BV61" s="875">
        <f t="shared" si="48"/>
        <v>8.0000000000000002E-3</v>
      </c>
      <c r="BW61" s="859" t="s">
        <v>487</v>
      </c>
      <c r="BX61" s="857">
        <f t="shared" si="24"/>
        <v>6.1520000000000005E-2</v>
      </c>
      <c r="BY61" s="857">
        <f t="shared" si="25"/>
        <v>1.038961038961039E-2</v>
      </c>
      <c r="BZ61" s="857">
        <f t="shared" si="26"/>
        <v>2.9743569230769231E-3</v>
      </c>
      <c r="CA61" s="857">
        <f t="shared" si="27"/>
        <v>2.6666666666666666E-3</v>
      </c>
      <c r="CB61" s="16">
        <f t="shared" si="28"/>
        <v>0.60000000000000009</v>
      </c>
      <c r="CC61" s="16">
        <f t="shared" si="29"/>
        <v>0.4</v>
      </c>
      <c r="CD61" s="16">
        <f t="shared" si="49"/>
        <v>1</v>
      </c>
      <c r="CE61" s="16">
        <f t="shared" si="50"/>
        <v>0.6080000000000001</v>
      </c>
      <c r="CF61" s="16" t="e">
        <f>SUM(#REF!/(CC61+CB61))</f>
        <v>#REF!</v>
      </c>
      <c r="CG61" s="19"/>
      <c r="CH61" s="19"/>
      <c r="CI61" s="19"/>
      <c r="CJ61" s="19"/>
      <c r="CV61" s="346">
        <f t="shared" si="56"/>
        <v>1</v>
      </c>
    </row>
    <row r="62" spans="1:100" s="3" customFormat="1" ht="409.5" x14ac:dyDescent="0.25">
      <c r="A62" s="350" t="s">
        <v>79</v>
      </c>
      <c r="B62" s="350" t="s">
        <v>80</v>
      </c>
      <c r="C62" s="350" t="s">
        <v>81</v>
      </c>
      <c r="D62" s="350" t="s">
        <v>82</v>
      </c>
      <c r="E62" s="350" t="s">
        <v>83</v>
      </c>
      <c r="F62" s="350" t="s">
        <v>84</v>
      </c>
      <c r="G62" s="350" t="s">
        <v>85</v>
      </c>
      <c r="H62" s="350" t="s">
        <v>440</v>
      </c>
      <c r="I62" s="350" t="s">
        <v>441</v>
      </c>
      <c r="J62" s="350" t="s">
        <v>432</v>
      </c>
      <c r="K62" s="364" t="s">
        <v>442</v>
      </c>
      <c r="L62" s="364" t="s">
        <v>89</v>
      </c>
      <c r="M62" s="456" t="s">
        <v>488</v>
      </c>
      <c r="N62" s="361" t="s">
        <v>444</v>
      </c>
      <c r="O62" s="361" t="s">
        <v>445</v>
      </c>
      <c r="P62" s="922">
        <v>39542136.277533107</v>
      </c>
      <c r="Q62" s="364" t="s">
        <v>94</v>
      </c>
      <c r="R62" s="364" t="s">
        <v>213</v>
      </c>
      <c r="S62" s="347">
        <v>1</v>
      </c>
      <c r="T62" s="482" t="s">
        <v>489</v>
      </c>
      <c r="U62" s="476" t="s">
        <v>490</v>
      </c>
      <c r="V62" s="352" t="s">
        <v>98</v>
      </c>
      <c r="W62" s="500" t="s">
        <v>491</v>
      </c>
      <c r="X62" s="436">
        <v>0</v>
      </c>
      <c r="Y62" s="436">
        <v>0.33</v>
      </c>
      <c r="Z62" s="437">
        <v>0.33</v>
      </c>
      <c r="AA62" s="520">
        <v>0.34</v>
      </c>
      <c r="AB62" s="525">
        <v>7.69</v>
      </c>
      <c r="AC62" s="413">
        <v>1.2987012987012987</v>
      </c>
      <c r="AD62" s="413">
        <v>0.37179461538461539</v>
      </c>
      <c r="AE62" s="413">
        <v>0.33333333333333331</v>
      </c>
      <c r="AF62" s="692">
        <f t="shared" si="57"/>
        <v>0</v>
      </c>
      <c r="AG62" s="693" t="s">
        <v>146</v>
      </c>
      <c r="AH62" s="698">
        <v>0</v>
      </c>
      <c r="AI62" s="696"/>
      <c r="AJ62" s="696"/>
      <c r="AK62" s="693"/>
      <c r="AL62" s="692">
        <f t="shared" si="37"/>
        <v>0</v>
      </c>
      <c r="AM62" s="695" t="s">
        <v>121</v>
      </c>
      <c r="AN62" s="693">
        <f t="shared" si="38"/>
        <v>0</v>
      </c>
      <c r="AO62" s="693">
        <f t="shared" si="39"/>
        <v>0</v>
      </c>
      <c r="AP62" s="693">
        <f t="shared" si="40"/>
        <v>0</v>
      </c>
      <c r="AQ62" s="696"/>
      <c r="AR62" s="401">
        <f t="shared" si="58"/>
        <v>0.33</v>
      </c>
      <c r="AS62" s="402" t="s">
        <v>100</v>
      </c>
      <c r="AT62" s="405">
        <v>1</v>
      </c>
      <c r="AU62" s="407" t="s">
        <v>492</v>
      </c>
      <c r="AV62" s="407" t="s">
        <v>493</v>
      </c>
      <c r="AW62" s="729" t="str">
        <f t="shared" si="51"/>
        <v>ALTO</v>
      </c>
      <c r="AX62" s="397">
        <f t="shared" si="41"/>
        <v>0.33</v>
      </c>
      <c r="AY62" s="400" t="s">
        <v>451</v>
      </c>
      <c r="AZ62" s="398">
        <f t="shared" si="42"/>
        <v>2.5377000000000001</v>
      </c>
      <c r="BA62" s="398">
        <f t="shared" si="43"/>
        <v>0.4285714285714286</v>
      </c>
      <c r="BB62" s="398">
        <f t="shared" si="44"/>
        <v>0.12269222307692308</v>
      </c>
      <c r="BC62" s="18"/>
      <c r="BD62" s="14">
        <f t="shared" si="45"/>
        <v>0.33</v>
      </c>
      <c r="BE62" s="677" t="s">
        <v>100</v>
      </c>
      <c r="BF62" s="681">
        <f>1/1</f>
        <v>1</v>
      </c>
      <c r="BG62" s="680" t="s">
        <v>494</v>
      </c>
      <c r="BH62" s="752" t="s">
        <v>495</v>
      </c>
      <c r="BI62" s="658" t="str">
        <f t="shared" si="31"/>
        <v>ALTO</v>
      </c>
      <c r="BJ62" s="681">
        <f t="shared" si="46"/>
        <v>0.33</v>
      </c>
      <c r="BK62" s="680" t="s">
        <v>496</v>
      </c>
      <c r="BL62" s="682">
        <f t="shared" si="19"/>
        <v>4.2912873862158647E-2</v>
      </c>
      <c r="BM62" s="682">
        <f t="shared" si="20"/>
        <v>0.25409999999999999</v>
      </c>
      <c r="BN62" s="682">
        <f t="shared" si="21"/>
        <v>0.88758681902539249</v>
      </c>
      <c r="BO62" s="754"/>
      <c r="BP62" s="853">
        <f t="shared" si="52"/>
        <v>0.34</v>
      </c>
      <c r="BQ62" s="854" t="s">
        <v>105</v>
      </c>
      <c r="BR62" s="871">
        <f>0/100</f>
        <v>0</v>
      </c>
      <c r="BS62" s="859" t="s">
        <v>497</v>
      </c>
      <c r="BT62" s="872" t="s">
        <v>498</v>
      </c>
      <c r="BU62" s="907" t="str">
        <f t="shared" si="47"/>
        <v>BAJO</v>
      </c>
      <c r="BV62" s="875">
        <f t="shared" si="48"/>
        <v>0</v>
      </c>
      <c r="BW62" s="859" t="s">
        <v>499</v>
      </c>
      <c r="BX62" s="857">
        <f t="shared" si="24"/>
        <v>0</v>
      </c>
      <c r="BY62" s="857">
        <f t="shared" si="25"/>
        <v>0</v>
      </c>
      <c r="BZ62" s="857">
        <f t="shared" si="26"/>
        <v>0</v>
      </c>
      <c r="CA62" s="857">
        <f t="shared" si="27"/>
        <v>0</v>
      </c>
      <c r="CB62" s="16">
        <f t="shared" si="28"/>
        <v>0.67</v>
      </c>
      <c r="CC62" s="16">
        <f t="shared" si="29"/>
        <v>0.33</v>
      </c>
      <c r="CD62" s="16">
        <f t="shared" si="49"/>
        <v>1</v>
      </c>
      <c r="CE62" s="16">
        <f t="shared" si="50"/>
        <v>0.66</v>
      </c>
      <c r="CF62" s="16" t="e">
        <f>SUM(#REF!/(CC62+CB62))</f>
        <v>#REF!</v>
      </c>
      <c r="CG62" s="19"/>
      <c r="CH62" s="19"/>
      <c r="CI62" s="19"/>
      <c r="CJ62" s="19"/>
      <c r="CV62" s="346">
        <f t="shared" si="56"/>
        <v>1</v>
      </c>
    </row>
    <row r="63" spans="1:100" s="3" customFormat="1" ht="409.5" x14ac:dyDescent="0.25">
      <c r="A63" s="350" t="s">
        <v>79</v>
      </c>
      <c r="B63" s="350" t="s">
        <v>80</v>
      </c>
      <c r="C63" s="350" t="s">
        <v>81</v>
      </c>
      <c r="D63" s="350" t="s">
        <v>82</v>
      </c>
      <c r="E63" s="350" t="s">
        <v>83</v>
      </c>
      <c r="F63" s="350" t="s">
        <v>84</v>
      </c>
      <c r="G63" s="350" t="s">
        <v>85</v>
      </c>
      <c r="H63" s="350" t="s">
        <v>440</v>
      </c>
      <c r="I63" s="350" t="s">
        <v>441</v>
      </c>
      <c r="J63" s="350" t="s">
        <v>432</v>
      </c>
      <c r="K63" s="364" t="s">
        <v>442</v>
      </c>
      <c r="L63" s="364" t="s">
        <v>89</v>
      </c>
      <c r="M63" s="456" t="s">
        <v>500</v>
      </c>
      <c r="N63" s="361" t="s">
        <v>444</v>
      </c>
      <c r="O63" s="361" t="s">
        <v>445</v>
      </c>
      <c r="P63" s="922">
        <v>39542136.277533107</v>
      </c>
      <c r="Q63" s="364" t="s">
        <v>94</v>
      </c>
      <c r="R63" s="364" t="s">
        <v>213</v>
      </c>
      <c r="S63" s="347">
        <v>1</v>
      </c>
      <c r="T63" s="482" t="s">
        <v>501</v>
      </c>
      <c r="U63" s="476" t="s">
        <v>502</v>
      </c>
      <c r="V63" s="481" t="s">
        <v>98</v>
      </c>
      <c r="W63" s="500" t="s">
        <v>503</v>
      </c>
      <c r="X63" s="436">
        <v>0</v>
      </c>
      <c r="Y63" s="436">
        <v>0.33</v>
      </c>
      <c r="Z63" s="436">
        <v>0.33</v>
      </c>
      <c r="AA63" s="515">
        <v>0.34</v>
      </c>
      <c r="AB63" s="525">
        <v>7.69</v>
      </c>
      <c r="AC63" s="413">
        <v>1.2987012987012987</v>
      </c>
      <c r="AD63" s="413">
        <v>0.37179461538461539</v>
      </c>
      <c r="AE63" s="413">
        <v>0.33333333333333331</v>
      </c>
      <c r="AF63" s="692">
        <f t="shared" si="57"/>
        <v>0</v>
      </c>
      <c r="AG63" s="693" t="s">
        <v>146</v>
      </c>
      <c r="AH63" s="698">
        <v>0</v>
      </c>
      <c r="AI63" s="696"/>
      <c r="AJ63" s="696"/>
      <c r="AK63" s="693"/>
      <c r="AL63" s="692">
        <f t="shared" si="37"/>
        <v>0</v>
      </c>
      <c r="AM63" s="695" t="s">
        <v>121</v>
      </c>
      <c r="AN63" s="693">
        <f t="shared" si="38"/>
        <v>0</v>
      </c>
      <c r="AO63" s="693">
        <f t="shared" si="39"/>
        <v>0</v>
      </c>
      <c r="AP63" s="693">
        <f t="shared" si="40"/>
        <v>0</v>
      </c>
      <c r="AQ63" s="696"/>
      <c r="AR63" s="401">
        <f t="shared" si="58"/>
        <v>0.33</v>
      </c>
      <c r="AS63" s="402" t="s">
        <v>100</v>
      </c>
      <c r="AT63" s="405">
        <f>2/2</f>
        <v>1</v>
      </c>
      <c r="AU63" s="407" t="s">
        <v>504</v>
      </c>
      <c r="AV63" s="407" t="s">
        <v>505</v>
      </c>
      <c r="AW63" s="729" t="str">
        <f t="shared" si="51"/>
        <v>ALTO</v>
      </c>
      <c r="AX63" s="397">
        <f t="shared" si="41"/>
        <v>0.33</v>
      </c>
      <c r="AY63" s="400" t="s">
        <v>506</v>
      </c>
      <c r="AZ63" s="398">
        <f t="shared" si="42"/>
        <v>2.5377000000000001</v>
      </c>
      <c r="BA63" s="398">
        <f t="shared" si="43"/>
        <v>0.4285714285714286</v>
      </c>
      <c r="BB63" s="398">
        <f t="shared" si="44"/>
        <v>0.12269222307692308</v>
      </c>
      <c r="BC63" s="18"/>
      <c r="BD63" s="14">
        <f t="shared" si="45"/>
        <v>0.33</v>
      </c>
      <c r="BE63" s="677" t="s">
        <v>100</v>
      </c>
      <c r="BF63" s="681">
        <f>3/3</f>
        <v>1</v>
      </c>
      <c r="BG63" s="680" t="s">
        <v>507</v>
      </c>
      <c r="BH63" s="752" t="s">
        <v>508</v>
      </c>
      <c r="BI63" s="658" t="str">
        <f t="shared" si="31"/>
        <v>ALTO</v>
      </c>
      <c r="BJ63" s="681">
        <f t="shared" si="46"/>
        <v>0.33</v>
      </c>
      <c r="BK63" s="680" t="s">
        <v>509</v>
      </c>
      <c r="BL63" s="682">
        <f t="shared" si="19"/>
        <v>4.2912873862158647E-2</v>
      </c>
      <c r="BM63" s="682">
        <f t="shared" si="20"/>
        <v>0.25409999999999999</v>
      </c>
      <c r="BN63" s="682">
        <f t="shared" si="21"/>
        <v>0.88758681902539249</v>
      </c>
      <c r="BO63" s="754"/>
      <c r="BP63" s="853">
        <v>0.33</v>
      </c>
      <c r="BQ63" s="854" t="s">
        <v>105</v>
      </c>
      <c r="BR63" s="871">
        <f>0.5/100</f>
        <v>5.0000000000000001E-3</v>
      </c>
      <c r="BS63" s="859" t="s">
        <v>510</v>
      </c>
      <c r="BT63" s="872" t="s">
        <v>511</v>
      </c>
      <c r="BU63" s="907" t="str">
        <f t="shared" si="47"/>
        <v>BAJO</v>
      </c>
      <c r="BV63" s="875">
        <f t="shared" si="48"/>
        <v>1.6500000000000002E-3</v>
      </c>
      <c r="BW63" s="859" t="s">
        <v>512</v>
      </c>
      <c r="BX63" s="857">
        <f t="shared" si="24"/>
        <v>1.2688500000000002E-2</v>
      </c>
      <c r="BY63" s="857">
        <f t="shared" si="25"/>
        <v>2.142857142857143E-3</v>
      </c>
      <c r="BZ63" s="857">
        <f t="shared" si="26"/>
        <v>6.1346111538461542E-4</v>
      </c>
      <c r="CA63" s="857">
        <f t="shared" si="27"/>
        <v>5.5000000000000003E-4</v>
      </c>
      <c r="CB63" s="16">
        <f t="shared" si="28"/>
        <v>0.66</v>
      </c>
      <c r="CC63" s="16">
        <f t="shared" si="29"/>
        <v>0.33</v>
      </c>
      <c r="CD63" s="16">
        <f t="shared" si="49"/>
        <v>1</v>
      </c>
      <c r="CE63" s="16">
        <f t="shared" si="50"/>
        <v>0.66165000000000007</v>
      </c>
      <c r="CF63" s="16" t="e">
        <f>SUM(#REF!/(CC63+CB63))</f>
        <v>#REF!</v>
      </c>
      <c r="CG63" s="19"/>
      <c r="CH63" s="19"/>
      <c r="CI63" s="19"/>
      <c r="CJ63" s="19"/>
      <c r="CV63" s="346">
        <f t="shared" si="56"/>
        <v>1</v>
      </c>
    </row>
    <row r="64" spans="1:100" s="3" customFormat="1" ht="171" x14ac:dyDescent="0.25">
      <c r="A64" s="351" t="s">
        <v>79</v>
      </c>
      <c r="B64" s="351" t="s">
        <v>80</v>
      </c>
      <c r="C64" s="351" t="s">
        <v>81</v>
      </c>
      <c r="D64" s="351" t="s">
        <v>82</v>
      </c>
      <c r="E64" s="351" t="s">
        <v>83</v>
      </c>
      <c r="F64" s="351" t="s">
        <v>84</v>
      </c>
      <c r="G64" s="351" t="s">
        <v>85</v>
      </c>
      <c r="H64" s="351" t="s">
        <v>86</v>
      </c>
      <c r="I64" s="351" t="s">
        <v>87</v>
      </c>
      <c r="J64" s="351" t="s">
        <v>152</v>
      </c>
      <c r="K64" s="368" t="s">
        <v>442</v>
      </c>
      <c r="L64" s="368" t="s">
        <v>89</v>
      </c>
      <c r="M64" s="376" t="s">
        <v>153</v>
      </c>
      <c r="N64" s="367" t="s">
        <v>91</v>
      </c>
      <c r="O64" s="367" t="s">
        <v>154</v>
      </c>
      <c r="P64" s="930">
        <v>39542136.277533107</v>
      </c>
      <c r="Q64" s="368" t="s">
        <v>94</v>
      </c>
      <c r="R64" s="368" t="s">
        <v>156</v>
      </c>
      <c r="S64" s="357">
        <v>3</v>
      </c>
      <c r="T64" s="369" t="s">
        <v>157</v>
      </c>
      <c r="U64" s="357" t="s">
        <v>158</v>
      </c>
      <c r="V64" s="370" t="s">
        <v>98</v>
      </c>
      <c r="W64" s="497" t="s">
        <v>159</v>
      </c>
      <c r="X64" s="432">
        <v>0</v>
      </c>
      <c r="Y64" s="432">
        <v>0.34</v>
      </c>
      <c r="Z64" s="432">
        <v>0.33</v>
      </c>
      <c r="AA64" s="444">
        <v>0.33</v>
      </c>
      <c r="AB64" s="525">
        <v>15.38</v>
      </c>
      <c r="AC64" s="413">
        <v>2.597</v>
      </c>
      <c r="AD64" s="413">
        <v>0.74350000000000005</v>
      </c>
      <c r="AE64" s="413">
        <v>0.37727272727272726</v>
      </c>
      <c r="AF64" s="692">
        <f t="shared" si="57"/>
        <v>0</v>
      </c>
      <c r="AG64" s="693" t="s">
        <v>146</v>
      </c>
      <c r="AH64" s="698">
        <v>0</v>
      </c>
      <c r="AI64" s="695"/>
      <c r="AJ64" s="696"/>
      <c r="AK64" s="693"/>
      <c r="AL64" s="692">
        <f t="shared" si="37"/>
        <v>0</v>
      </c>
      <c r="AM64" s="695" t="s">
        <v>121</v>
      </c>
      <c r="AN64" s="693">
        <f t="shared" si="38"/>
        <v>0</v>
      </c>
      <c r="AO64" s="693">
        <f t="shared" si="39"/>
        <v>0</v>
      </c>
      <c r="AP64" s="693">
        <f t="shared" si="40"/>
        <v>0</v>
      </c>
      <c r="AQ64" s="696"/>
      <c r="AR64" s="401">
        <f t="shared" si="58"/>
        <v>0.34</v>
      </c>
      <c r="AS64" s="402" t="s">
        <v>100</v>
      </c>
      <c r="AT64" s="405">
        <f>1/1</f>
        <v>1</v>
      </c>
      <c r="AU64" s="411"/>
      <c r="AV64" s="411"/>
      <c r="AW64" s="729" t="str">
        <f t="shared" si="51"/>
        <v>ALTO</v>
      </c>
      <c r="AX64" s="397">
        <f t="shared" si="41"/>
        <v>0.34</v>
      </c>
      <c r="AY64" s="400"/>
      <c r="AZ64" s="398">
        <f t="shared" si="42"/>
        <v>5.2292000000000005</v>
      </c>
      <c r="BA64" s="398">
        <f t="shared" si="43"/>
        <v>0.8829800000000001</v>
      </c>
      <c r="BB64" s="398">
        <f t="shared" si="44"/>
        <v>0.25279000000000001</v>
      </c>
      <c r="BC64" s="18"/>
      <c r="BD64" s="14">
        <f t="shared" si="45"/>
        <v>0.33</v>
      </c>
      <c r="BE64" s="677" t="s">
        <v>100</v>
      </c>
      <c r="BF64" s="681">
        <f>1/1</f>
        <v>1</v>
      </c>
      <c r="BG64" s="680" t="s">
        <v>513</v>
      </c>
      <c r="BH64" s="752" t="s">
        <v>514</v>
      </c>
      <c r="BI64" s="658" t="str">
        <f t="shared" si="31"/>
        <v>ALTO</v>
      </c>
      <c r="BJ64" s="681">
        <f t="shared" si="46"/>
        <v>0.33</v>
      </c>
      <c r="BK64" s="680" t="s">
        <v>515</v>
      </c>
      <c r="BL64" s="682">
        <f t="shared" si="19"/>
        <v>2.1456436931079324E-2</v>
      </c>
      <c r="BM64" s="682">
        <f t="shared" si="20"/>
        <v>0.12706969580284944</v>
      </c>
      <c r="BN64" s="682">
        <f t="shared" si="21"/>
        <v>0.44384667114996634</v>
      </c>
      <c r="BO64" s="754"/>
      <c r="BP64" s="853">
        <f t="shared" ref="BP64:BP95" si="59">AA64</f>
        <v>0.33</v>
      </c>
      <c r="BQ64" s="854" t="s">
        <v>105</v>
      </c>
      <c r="BR64" s="871">
        <f>100/100</f>
        <v>1</v>
      </c>
      <c r="BS64" s="859" t="s">
        <v>516</v>
      </c>
      <c r="BT64" s="872" t="s">
        <v>157</v>
      </c>
      <c r="BU64" s="905" t="str">
        <f t="shared" si="47"/>
        <v>ALTO</v>
      </c>
      <c r="BV64" s="875">
        <f t="shared" si="48"/>
        <v>0.33</v>
      </c>
      <c r="BW64" s="863" t="s">
        <v>517</v>
      </c>
      <c r="BX64" s="857">
        <f t="shared" si="24"/>
        <v>5.0754000000000001</v>
      </c>
      <c r="BY64" s="857">
        <f t="shared" si="25"/>
        <v>0.85701000000000005</v>
      </c>
      <c r="BZ64" s="857">
        <f t="shared" si="26"/>
        <v>0.24535500000000002</v>
      </c>
      <c r="CA64" s="857">
        <f t="shared" si="27"/>
        <v>0.1245</v>
      </c>
      <c r="CB64" s="16">
        <f t="shared" si="28"/>
        <v>0.66</v>
      </c>
      <c r="CC64" s="16">
        <f t="shared" si="29"/>
        <v>0.34</v>
      </c>
      <c r="CD64" s="16">
        <f t="shared" si="49"/>
        <v>1</v>
      </c>
      <c r="CE64" s="16">
        <f t="shared" si="50"/>
        <v>1</v>
      </c>
      <c r="CF64" s="16" t="e">
        <f>SUM(#REF!/(CC64+CB64))</f>
        <v>#REF!</v>
      </c>
      <c r="CG64" s="19"/>
      <c r="CH64" s="19"/>
      <c r="CI64" s="19"/>
      <c r="CJ64" s="19"/>
      <c r="CK64" s="3" t="s">
        <v>165</v>
      </c>
      <c r="CV64" s="346">
        <f t="shared" si="56"/>
        <v>1</v>
      </c>
    </row>
    <row r="65" spans="1:303" s="3" customFormat="1" ht="171" x14ac:dyDescent="0.25">
      <c r="A65" s="351" t="s">
        <v>79</v>
      </c>
      <c r="B65" s="351" t="s">
        <v>80</v>
      </c>
      <c r="C65" s="351" t="s">
        <v>81</v>
      </c>
      <c r="D65" s="351" t="s">
        <v>82</v>
      </c>
      <c r="E65" s="351" t="s">
        <v>83</v>
      </c>
      <c r="F65" s="351" t="s">
        <v>84</v>
      </c>
      <c r="G65" s="351" t="s">
        <v>85</v>
      </c>
      <c r="H65" s="351" t="s">
        <v>86</v>
      </c>
      <c r="I65" s="351" t="s">
        <v>87</v>
      </c>
      <c r="J65" s="351" t="s">
        <v>152</v>
      </c>
      <c r="K65" s="368" t="s">
        <v>442</v>
      </c>
      <c r="L65" s="368" t="s">
        <v>89</v>
      </c>
      <c r="M65" s="478" t="s">
        <v>166</v>
      </c>
      <c r="N65" s="367" t="s">
        <v>91</v>
      </c>
      <c r="O65" s="367" t="s">
        <v>154</v>
      </c>
      <c r="P65" s="930">
        <v>39542136.277533107</v>
      </c>
      <c r="Q65" s="368" t="s">
        <v>94</v>
      </c>
      <c r="R65" s="368" t="s">
        <v>156</v>
      </c>
      <c r="S65" s="478">
        <v>3</v>
      </c>
      <c r="T65" s="479" t="s">
        <v>167</v>
      </c>
      <c r="U65" s="479" t="s">
        <v>168</v>
      </c>
      <c r="V65" s="491" t="s">
        <v>98</v>
      </c>
      <c r="W65" s="501" t="s">
        <v>337</v>
      </c>
      <c r="X65" s="449">
        <v>0</v>
      </c>
      <c r="Y65" s="450">
        <v>0.33</v>
      </c>
      <c r="Z65" s="450">
        <v>0.33</v>
      </c>
      <c r="AA65" s="521">
        <v>0.34</v>
      </c>
      <c r="AB65" s="525">
        <v>7.69</v>
      </c>
      <c r="AC65" s="413">
        <v>1.2987012987012987</v>
      </c>
      <c r="AD65" s="413">
        <v>0.37179461538461539</v>
      </c>
      <c r="AE65" s="413">
        <v>0.37727272727272726</v>
      </c>
      <c r="AF65" s="692">
        <f t="shared" si="57"/>
        <v>0</v>
      </c>
      <c r="AG65" s="693" t="s">
        <v>146</v>
      </c>
      <c r="AH65" s="698">
        <v>0</v>
      </c>
      <c r="AI65" s="695"/>
      <c r="AJ65" s="695"/>
      <c r="AK65" s="693"/>
      <c r="AL65" s="692">
        <f t="shared" si="37"/>
        <v>0</v>
      </c>
      <c r="AM65" s="695" t="s">
        <v>121</v>
      </c>
      <c r="AN65" s="693">
        <f t="shared" si="38"/>
        <v>0</v>
      </c>
      <c r="AO65" s="693">
        <f t="shared" si="39"/>
        <v>0</v>
      </c>
      <c r="AP65" s="693">
        <f t="shared" si="40"/>
        <v>0</v>
      </c>
      <c r="AQ65" s="696"/>
      <c r="AR65" s="401">
        <f t="shared" si="58"/>
        <v>0.33</v>
      </c>
      <c r="AS65" s="402" t="s">
        <v>100</v>
      </c>
      <c r="AT65" s="405">
        <f>1/1</f>
        <v>1</v>
      </c>
      <c r="AU65" s="406"/>
      <c r="AV65" s="406"/>
      <c r="AW65" s="729" t="str">
        <f t="shared" si="51"/>
        <v>ALTO</v>
      </c>
      <c r="AX65" s="397">
        <f t="shared" si="41"/>
        <v>0.33</v>
      </c>
      <c r="AY65" s="400"/>
      <c r="AZ65" s="398">
        <f t="shared" si="42"/>
        <v>2.5377000000000001</v>
      </c>
      <c r="BA65" s="398">
        <f t="shared" si="43"/>
        <v>0.4285714285714286</v>
      </c>
      <c r="BB65" s="398">
        <f t="shared" si="44"/>
        <v>0.12269222307692308</v>
      </c>
      <c r="BC65" s="18"/>
      <c r="BD65" s="14">
        <f t="shared" si="45"/>
        <v>0.33</v>
      </c>
      <c r="BE65" s="677" t="s">
        <v>100</v>
      </c>
      <c r="BF65" s="681">
        <f>1/1</f>
        <v>1</v>
      </c>
      <c r="BG65" s="680" t="s">
        <v>518</v>
      </c>
      <c r="BH65" s="752" t="s">
        <v>519</v>
      </c>
      <c r="BI65" s="658" t="str">
        <f t="shared" si="31"/>
        <v>ALTO</v>
      </c>
      <c r="BJ65" s="681">
        <f t="shared" si="46"/>
        <v>0.33</v>
      </c>
      <c r="BK65" s="680" t="s">
        <v>520</v>
      </c>
      <c r="BL65" s="682">
        <f t="shared" si="19"/>
        <v>4.2912873862158647E-2</v>
      </c>
      <c r="BM65" s="682">
        <f t="shared" si="20"/>
        <v>0.25409999999999999</v>
      </c>
      <c r="BN65" s="682">
        <f t="shared" si="21"/>
        <v>0.88758681902539249</v>
      </c>
      <c r="BO65" s="754"/>
      <c r="BP65" s="853">
        <f t="shared" si="59"/>
        <v>0.34</v>
      </c>
      <c r="BQ65" s="854" t="s">
        <v>105</v>
      </c>
      <c r="BR65" s="871">
        <v>1</v>
      </c>
      <c r="BS65" s="859" t="s">
        <v>516</v>
      </c>
      <c r="BT65" s="872" t="s">
        <v>519</v>
      </c>
      <c r="BU65" s="905" t="str">
        <f t="shared" si="47"/>
        <v>ALTO</v>
      </c>
      <c r="BV65" s="875">
        <f t="shared" si="48"/>
        <v>0.34</v>
      </c>
      <c r="BW65" s="863" t="s">
        <v>521</v>
      </c>
      <c r="BX65" s="857">
        <f t="shared" si="24"/>
        <v>2.6146000000000003</v>
      </c>
      <c r="BY65" s="857">
        <f t="shared" si="25"/>
        <v>0.44155844155844159</v>
      </c>
      <c r="BZ65" s="857">
        <f t="shared" si="26"/>
        <v>0.12641016923076925</v>
      </c>
      <c r="CA65" s="857">
        <f t="shared" si="27"/>
        <v>0.12827272727272729</v>
      </c>
      <c r="CB65" s="16">
        <f t="shared" si="28"/>
        <v>0.67</v>
      </c>
      <c r="CC65" s="16">
        <f t="shared" si="29"/>
        <v>0.33</v>
      </c>
      <c r="CD65" s="16">
        <f t="shared" si="49"/>
        <v>1</v>
      </c>
      <c r="CE65" s="16">
        <f t="shared" si="50"/>
        <v>1</v>
      </c>
      <c r="CF65" s="16" t="e">
        <f>SUM(#REF!/(CC65+CB65))</f>
        <v>#REF!</v>
      </c>
      <c r="CG65" s="19"/>
      <c r="CH65" s="19"/>
      <c r="CI65" s="19"/>
      <c r="CJ65" s="19"/>
      <c r="CK65" s="3" t="s">
        <v>165</v>
      </c>
      <c r="CV65" s="346">
        <f t="shared" si="56"/>
        <v>1</v>
      </c>
    </row>
    <row r="66" spans="1:303" s="3" customFormat="1" ht="171" x14ac:dyDescent="0.25">
      <c r="A66" s="351" t="s">
        <v>79</v>
      </c>
      <c r="B66" s="351" t="s">
        <v>80</v>
      </c>
      <c r="C66" s="351" t="s">
        <v>81</v>
      </c>
      <c r="D66" s="351" t="s">
        <v>82</v>
      </c>
      <c r="E66" s="351" t="s">
        <v>83</v>
      </c>
      <c r="F66" s="351" t="s">
        <v>84</v>
      </c>
      <c r="G66" s="351" t="s">
        <v>85</v>
      </c>
      <c r="H66" s="351" t="s">
        <v>86</v>
      </c>
      <c r="I66" s="351" t="s">
        <v>87</v>
      </c>
      <c r="J66" s="351" t="s">
        <v>152</v>
      </c>
      <c r="K66" s="368" t="s">
        <v>442</v>
      </c>
      <c r="L66" s="368" t="s">
        <v>89</v>
      </c>
      <c r="M66" s="478" t="s">
        <v>174</v>
      </c>
      <c r="N66" s="367" t="s">
        <v>91</v>
      </c>
      <c r="O66" s="367" t="s">
        <v>154</v>
      </c>
      <c r="P66" s="930">
        <v>39542136.277533107</v>
      </c>
      <c r="Q66" s="368" t="s">
        <v>94</v>
      </c>
      <c r="R66" s="368" t="s">
        <v>156</v>
      </c>
      <c r="S66" s="478">
        <v>3</v>
      </c>
      <c r="T66" s="479" t="s">
        <v>175</v>
      </c>
      <c r="U66" s="479" t="s">
        <v>176</v>
      </c>
      <c r="V66" s="491" t="s">
        <v>98</v>
      </c>
      <c r="W66" s="501" t="s">
        <v>342</v>
      </c>
      <c r="X66" s="451">
        <v>0</v>
      </c>
      <c r="Y66" s="450">
        <v>0.33</v>
      </c>
      <c r="Z66" s="450">
        <v>0.33</v>
      </c>
      <c r="AA66" s="521">
        <v>0.34</v>
      </c>
      <c r="AB66" s="525">
        <v>7.69</v>
      </c>
      <c r="AC66" s="413">
        <v>1.2987012987012987</v>
      </c>
      <c r="AD66" s="413">
        <v>0.37179461538461539</v>
      </c>
      <c r="AE66" s="413">
        <v>0.37727272727272726</v>
      </c>
      <c r="AF66" s="704">
        <f t="shared" si="57"/>
        <v>0</v>
      </c>
      <c r="AG66" s="693" t="s">
        <v>146</v>
      </c>
      <c r="AH66" s="698">
        <v>0</v>
      </c>
      <c r="AI66" s="696"/>
      <c r="AJ66" s="696"/>
      <c r="AK66" s="693"/>
      <c r="AL66" s="692">
        <f t="shared" si="37"/>
        <v>0</v>
      </c>
      <c r="AM66" s="695" t="s">
        <v>121</v>
      </c>
      <c r="AN66" s="693">
        <f t="shared" si="38"/>
        <v>0</v>
      </c>
      <c r="AO66" s="693">
        <f t="shared" si="39"/>
        <v>0</v>
      </c>
      <c r="AP66" s="693">
        <f t="shared" si="40"/>
        <v>0</v>
      </c>
      <c r="AQ66" s="696"/>
      <c r="AR66" s="401">
        <f t="shared" si="58"/>
        <v>0.33</v>
      </c>
      <c r="AS66" s="402" t="s">
        <v>100</v>
      </c>
      <c r="AT66" s="405">
        <v>0</v>
      </c>
      <c r="AU66" s="404"/>
      <c r="AV66" s="404"/>
      <c r="AW66" s="729" t="str">
        <f t="shared" si="51"/>
        <v>BAJO</v>
      </c>
      <c r="AX66" s="397">
        <f t="shared" si="41"/>
        <v>0</v>
      </c>
      <c r="AY66" s="400" t="s">
        <v>522</v>
      </c>
      <c r="AZ66" s="398">
        <f t="shared" si="42"/>
        <v>0</v>
      </c>
      <c r="BA66" s="398">
        <f t="shared" si="43"/>
        <v>0</v>
      </c>
      <c r="BB66" s="398">
        <f t="shared" si="44"/>
        <v>0</v>
      </c>
      <c r="BC66" s="18"/>
      <c r="BD66" s="14">
        <f t="shared" si="45"/>
        <v>0.33</v>
      </c>
      <c r="BE66" s="677" t="s">
        <v>100</v>
      </c>
      <c r="BF66" s="681">
        <f>1/1</f>
        <v>1</v>
      </c>
      <c r="BG66" s="680" t="s">
        <v>523</v>
      </c>
      <c r="BH66" s="752" t="s">
        <v>524</v>
      </c>
      <c r="BI66" s="658" t="str">
        <f t="shared" si="31"/>
        <v>ALTO</v>
      </c>
      <c r="BJ66" s="681">
        <f t="shared" si="46"/>
        <v>0.33</v>
      </c>
      <c r="BK66" s="680" t="s">
        <v>525</v>
      </c>
      <c r="BL66" s="682">
        <f t="shared" si="19"/>
        <v>4.2912873862158647E-2</v>
      </c>
      <c r="BM66" s="682">
        <f t="shared" si="20"/>
        <v>0.25409999999999999</v>
      </c>
      <c r="BN66" s="682">
        <f t="shared" si="21"/>
        <v>0.88758681902539249</v>
      </c>
      <c r="BO66" s="754"/>
      <c r="BP66" s="853">
        <f t="shared" si="59"/>
        <v>0.34</v>
      </c>
      <c r="BQ66" s="854" t="s">
        <v>105</v>
      </c>
      <c r="BR66" s="855">
        <v>1</v>
      </c>
      <c r="BS66" s="859" t="s">
        <v>516</v>
      </c>
      <c r="BT66" s="872" t="s">
        <v>519</v>
      </c>
      <c r="BU66" s="905" t="str">
        <f t="shared" si="47"/>
        <v>ALTO</v>
      </c>
      <c r="BV66" s="875">
        <f t="shared" si="48"/>
        <v>0.34</v>
      </c>
      <c r="BW66" s="859" t="s">
        <v>180</v>
      </c>
      <c r="BX66" s="857">
        <f t="shared" si="24"/>
        <v>2.6146000000000003</v>
      </c>
      <c r="BY66" s="857">
        <f t="shared" si="25"/>
        <v>0.44155844155844159</v>
      </c>
      <c r="BZ66" s="857">
        <f t="shared" si="26"/>
        <v>0.12641016923076925</v>
      </c>
      <c r="CA66" s="857">
        <f t="shared" si="27"/>
        <v>0.12827272727272729</v>
      </c>
      <c r="CB66" s="16">
        <f t="shared" si="28"/>
        <v>0.67</v>
      </c>
      <c r="CC66" s="16">
        <f t="shared" si="29"/>
        <v>0.33</v>
      </c>
      <c r="CD66" s="16">
        <f t="shared" si="49"/>
        <v>1</v>
      </c>
      <c r="CE66" s="16">
        <f t="shared" si="50"/>
        <v>0.67</v>
      </c>
      <c r="CF66" s="16" t="e">
        <f>SUM(#REF!/(CC66+CB66))</f>
        <v>#REF!</v>
      </c>
      <c r="CG66" s="19"/>
      <c r="CH66" s="19"/>
      <c r="CI66" s="19"/>
      <c r="CJ66" s="19"/>
      <c r="CK66" s="3" t="s">
        <v>165</v>
      </c>
      <c r="CV66" s="346">
        <f t="shared" si="56"/>
        <v>1</v>
      </c>
    </row>
    <row r="67" spans="1:303" s="3" customFormat="1" ht="171" x14ac:dyDescent="0.25">
      <c r="A67" s="351" t="s">
        <v>79</v>
      </c>
      <c r="B67" s="351" t="s">
        <v>80</v>
      </c>
      <c r="C67" s="351" t="s">
        <v>81</v>
      </c>
      <c r="D67" s="351" t="s">
        <v>82</v>
      </c>
      <c r="E67" s="351" t="s">
        <v>83</v>
      </c>
      <c r="F67" s="351" t="s">
        <v>84</v>
      </c>
      <c r="G67" s="351" t="s">
        <v>85</v>
      </c>
      <c r="H67" s="351" t="s">
        <v>86</v>
      </c>
      <c r="I67" s="351" t="s">
        <v>87</v>
      </c>
      <c r="J67" s="351" t="s">
        <v>152</v>
      </c>
      <c r="K67" s="368" t="s">
        <v>442</v>
      </c>
      <c r="L67" s="368" t="s">
        <v>89</v>
      </c>
      <c r="M67" s="478" t="s">
        <v>181</v>
      </c>
      <c r="N67" s="367" t="s">
        <v>91</v>
      </c>
      <c r="O67" s="367" t="s">
        <v>154</v>
      </c>
      <c r="P67" s="930">
        <v>39542136.277533107</v>
      </c>
      <c r="Q67" s="368" t="s">
        <v>94</v>
      </c>
      <c r="R67" s="368" t="s">
        <v>156</v>
      </c>
      <c r="S67" s="480">
        <v>1</v>
      </c>
      <c r="T67" s="479" t="s">
        <v>182</v>
      </c>
      <c r="U67" s="479" t="s">
        <v>183</v>
      </c>
      <c r="V67" s="491" t="s">
        <v>98</v>
      </c>
      <c r="W67" s="501" t="s">
        <v>421</v>
      </c>
      <c r="X67" s="451">
        <v>0</v>
      </c>
      <c r="Y67" s="450">
        <v>0.5</v>
      </c>
      <c r="Z67" s="452">
        <v>0</v>
      </c>
      <c r="AA67" s="521">
        <v>0.5</v>
      </c>
      <c r="AB67" s="525">
        <v>7.69</v>
      </c>
      <c r="AC67" s="413">
        <v>1.2987012987012987</v>
      </c>
      <c r="AD67" s="413">
        <v>0.37179461538461539</v>
      </c>
      <c r="AE67" s="413">
        <v>0.37727272727272726</v>
      </c>
      <c r="AF67" s="692">
        <f t="shared" si="57"/>
        <v>0</v>
      </c>
      <c r="AG67" s="693" t="s">
        <v>146</v>
      </c>
      <c r="AH67" s="698">
        <v>0</v>
      </c>
      <c r="AI67" s="695"/>
      <c r="AJ67" s="696"/>
      <c r="AK67" s="693"/>
      <c r="AL67" s="692">
        <f t="shared" si="37"/>
        <v>0</v>
      </c>
      <c r="AM67" s="695" t="s">
        <v>121</v>
      </c>
      <c r="AN67" s="693">
        <f t="shared" si="38"/>
        <v>0</v>
      </c>
      <c r="AO67" s="693">
        <f t="shared" si="39"/>
        <v>0</v>
      </c>
      <c r="AP67" s="693">
        <f t="shared" si="40"/>
        <v>0</v>
      </c>
      <c r="AQ67" s="696"/>
      <c r="AR67" s="401">
        <f t="shared" si="58"/>
        <v>0.5</v>
      </c>
      <c r="AS67" s="402" t="s">
        <v>100</v>
      </c>
      <c r="AT67" s="408">
        <v>0</v>
      </c>
      <c r="AU67" s="406"/>
      <c r="AV67" s="404"/>
      <c r="AW67" s="729" t="str">
        <f t="shared" si="51"/>
        <v>BAJO</v>
      </c>
      <c r="AX67" s="397">
        <f t="shared" si="41"/>
        <v>0</v>
      </c>
      <c r="AY67" s="400" t="s">
        <v>522</v>
      </c>
      <c r="AZ67" s="398">
        <f t="shared" si="42"/>
        <v>0</v>
      </c>
      <c r="BA67" s="398">
        <f t="shared" si="43"/>
        <v>0</v>
      </c>
      <c r="BB67" s="398">
        <f t="shared" si="44"/>
        <v>0</v>
      </c>
      <c r="BC67" s="18"/>
      <c r="BD67" s="14">
        <f t="shared" si="45"/>
        <v>0</v>
      </c>
      <c r="BE67" s="677" t="s">
        <v>100</v>
      </c>
      <c r="BF67" s="681">
        <v>0.5</v>
      </c>
      <c r="BG67" s="680" t="s">
        <v>526</v>
      </c>
      <c r="BH67" s="752" t="s">
        <v>527</v>
      </c>
      <c r="BI67" s="658" t="str">
        <f t="shared" si="31"/>
        <v>BAJO</v>
      </c>
      <c r="BJ67" s="681">
        <f t="shared" si="46"/>
        <v>0</v>
      </c>
      <c r="BK67" s="680" t="s">
        <v>528</v>
      </c>
      <c r="BL67" s="682">
        <f t="shared" si="19"/>
        <v>0</v>
      </c>
      <c r="BM67" s="682">
        <f t="shared" si="20"/>
        <v>0</v>
      </c>
      <c r="BN67" s="682">
        <f t="shared" si="21"/>
        <v>0</v>
      </c>
      <c r="BO67" s="754"/>
      <c r="BP67" s="853">
        <f t="shared" si="59"/>
        <v>0.5</v>
      </c>
      <c r="BQ67" s="854" t="s">
        <v>105</v>
      </c>
      <c r="BR67" s="871">
        <v>1</v>
      </c>
      <c r="BS67" s="859" t="s">
        <v>529</v>
      </c>
      <c r="BT67" s="872" t="s">
        <v>530</v>
      </c>
      <c r="BU67" s="905" t="str">
        <f t="shared" si="47"/>
        <v>ALTO</v>
      </c>
      <c r="BV67" s="875">
        <f t="shared" si="48"/>
        <v>0.5</v>
      </c>
      <c r="BW67" s="859" t="s">
        <v>531</v>
      </c>
      <c r="BX67" s="857">
        <f t="shared" si="24"/>
        <v>3.8450000000000002</v>
      </c>
      <c r="BY67" s="857">
        <f t="shared" si="25"/>
        <v>0.64935064935064934</v>
      </c>
      <c r="BZ67" s="857">
        <f t="shared" si="26"/>
        <v>0.1858973076923077</v>
      </c>
      <c r="CA67" s="857">
        <f t="shared" si="27"/>
        <v>0.18863636363636363</v>
      </c>
      <c r="CB67" s="16">
        <f t="shared" si="28"/>
        <v>0.5</v>
      </c>
      <c r="CC67" s="16">
        <f t="shared" si="29"/>
        <v>0.5</v>
      </c>
      <c r="CD67" s="16">
        <f t="shared" si="49"/>
        <v>1</v>
      </c>
      <c r="CE67" s="16">
        <f t="shared" si="50"/>
        <v>0.5</v>
      </c>
      <c r="CF67" s="16" t="e">
        <f>SUM(#REF!/(CC67+CB67))</f>
        <v>#REF!</v>
      </c>
      <c r="CG67" s="19"/>
      <c r="CH67" s="19"/>
      <c r="CI67" s="19"/>
      <c r="CJ67" s="19"/>
      <c r="CK67" s="3" t="s">
        <v>165</v>
      </c>
      <c r="CV67" s="346">
        <f t="shared" si="56"/>
        <v>1</v>
      </c>
    </row>
    <row r="68" spans="1:303" s="3" customFormat="1" ht="228" x14ac:dyDescent="0.25">
      <c r="A68" s="351" t="s">
        <v>79</v>
      </c>
      <c r="B68" s="351" t="s">
        <v>80</v>
      </c>
      <c r="C68" s="351" t="s">
        <v>81</v>
      </c>
      <c r="D68" s="351" t="s">
        <v>82</v>
      </c>
      <c r="E68" s="351" t="s">
        <v>83</v>
      </c>
      <c r="F68" s="351" t="s">
        <v>84</v>
      </c>
      <c r="G68" s="351" t="s">
        <v>85</v>
      </c>
      <c r="H68" s="351" t="s">
        <v>86</v>
      </c>
      <c r="I68" s="351" t="s">
        <v>87</v>
      </c>
      <c r="J68" s="351" t="s">
        <v>152</v>
      </c>
      <c r="K68" s="368" t="s">
        <v>442</v>
      </c>
      <c r="L68" s="368" t="s">
        <v>89</v>
      </c>
      <c r="M68" s="456" t="s">
        <v>190</v>
      </c>
      <c r="N68" s="367" t="s">
        <v>91</v>
      </c>
      <c r="O68" s="367" t="s">
        <v>154</v>
      </c>
      <c r="P68" s="915"/>
      <c r="Q68" s="368" t="s">
        <v>94</v>
      </c>
      <c r="R68" s="368" t="s">
        <v>156</v>
      </c>
      <c r="S68" s="511">
        <v>1</v>
      </c>
      <c r="T68" s="475" t="s">
        <v>191</v>
      </c>
      <c r="U68" s="475" t="s">
        <v>158</v>
      </c>
      <c r="V68" s="489" t="s">
        <v>98</v>
      </c>
      <c r="W68" s="496" t="s">
        <v>192</v>
      </c>
      <c r="X68" s="446">
        <v>0</v>
      </c>
      <c r="Y68" s="447">
        <v>0</v>
      </c>
      <c r="Z68" s="447">
        <v>0</v>
      </c>
      <c r="AA68" s="517">
        <v>0</v>
      </c>
      <c r="AB68" s="525"/>
      <c r="AC68" s="413"/>
      <c r="AD68" s="413"/>
      <c r="AE68" s="413">
        <v>0.37727272727272726</v>
      </c>
      <c r="AF68" s="692">
        <f t="shared" si="57"/>
        <v>0</v>
      </c>
      <c r="AG68" s="693" t="s">
        <v>146</v>
      </c>
      <c r="AH68" s="698">
        <v>0</v>
      </c>
      <c r="AI68" s="696"/>
      <c r="AJ68" s="696"/>
      <c r="AK68" s="693"/>
      <c r="AL68" s="692">
        <f t="shared" si="37"/>
        <v>0</v>
      </c>
      <c r="AM68" s="695" t="s">
        <v>121</v>
      </c>
      <c r="AN68" s="693">
        <f t="shared" si="38"/>
        <v>0</v>
      </c>
      <c r="AO68" s="693">
        <f t="shared" si="39"/>
        <v>0</v>
      </c>
      <c r="AP68" s="693">
        <f t="shared" si="40"/>
        <v>0</v>
      </c>
      <c r="AQ68" s="696"/>
      <c r="AR68" s="401">
        <f t="shared" si="58"/>
        <v>0</v>
      </c>
      <c r="AS68" s="402" t="s">
        <v>146</v>
      </c>
      <c r="AT68" s="408">
        <v>0</v>
      </c>
      <c r="AU68" s="404"/>
      <c r="AV68" s="404"/>
      <c r="AW68" s="729"/>
      <c r="AX68" s="397">
        <f t="shared" si="41"/>
        <v>0</v>
      </c>
      <c r="AY68" s="400" t="s">
        <v>522</v>
      </c>
      <c r="AZ68" s="398">
        <f t="shared" si="42"/>
        <v>0</v>
      </c>
      <c r="BA68" s="398">
        <f t="shared" si="43"/>
        <v>0</v>
      </c>
      <c r="BB68" s="398">
        <f t="shared" si="44"/>
        <v>0</v>
      </c>
      <c r="BC68" s="18"/>
      <c r="BD68" s="14">
        <f t="shared" si="45"/>
        <v>0</v>
      </c>
      <c r="BE68" s="677" t="s">
        <v>146</v>
      </c>
      <c r="BF68" s="681">
        <v>1</v>
      </c>
      <c r="BG68" s="680" t="s">
        <v>532</v>
      </c>
      <c r="BH68" s="680" t="s">
        <v>532</v>
      </c>
      <c r="BI68" s="658" t="str">
        <f t="shared" si="31"/>
        <v>ALTO</v>
      </c>
      <c r="BJ68" s="681">
        <f t="shared" si="46"/>
        <v>0</v>
      </c>
      <c r="BK68" s="754" t="s">
        <v>149</v>
      </c>
      <c r="BL68" s="682" t="e">
        <f t="shared" si="19"/>
        <v>#DIV/0!</v>
      </c>
      <c r="BM68" s="682" t="e">
        <f t="shared" si="20"/>
        <v>#DIV/0!</v>
      </c>
      <c r="BN68" s="682" t="e">
        <f t="shared" si="21"/>
        <v>#DIV/0!</v>
      </c>
      <c r="BO68" s="754"/>
      <c r="BP68" s="853">
        <f t="shared" si="59"/>
        <v>0</v>
      </c>
      <c r="BQ68" s="854" t="s">
        <v>105</v>
      </c>
      <c r="BR68" s="871">
        <v>1</v>
      </c>
      <c r="BS68" s="859" t="s">
        <v>532</v>
      </c>
      <c r="BT68" s="872" t="s">
        <v>532</v>
      </c>
      <c r="BU68" s="905" t="str">
        <f t="shared" si="47"/>
        <v>ALTO</v>
      </c>
      <c r="BV68" s="862">
        <f t="shared" ref="BV68:BV96" si="60">BP68*BR68</f>
        <v>0</v>
      </c>
      <c r="BW68" s="863" t="s">
        <v>149</v>
      </c>
      <c r="BX68" s="857">
        <f t="shared" si="24"/>
        <v>0</v>
      </c>
      <c r="BY68" s="857">
        <f t="shared" si="25"/>
        <v>0</v>
      </c>
      <c r="BZ68" s="857">
        <f t="shared" si="26"/>
        <v>0</v>
      </c>
      <c r="CA68" s="857">
        <f t="shared" si="27"/>
        <v>0</v>
      </c>
      <c r="CB68" s="16">
        <f t="shared" si="28"/>
        <v>0</v>
      </c>
      <c r="CC68" s="16">
        <f t="shared" si="29"/>
        <v>0</v>
      </c>
      <c r="CD68" s="16"/>
      <c r="CE68" s="16"/>
      <c r="CF68" s="16" t="e">
        <f>SUM(#REF!/(CC68+CB68))</f>
        <v>#REF!</v>
      </c>
      <c r="CG68" s="19"/>
      <c r="CH68" s="19"/>
      <c r="CI68" s="19"/>
      <c r="CJ68" s="19"/>
      <c r="CK68" s="3" t="s">
        <v>165</v>
      </c>
      <c r="CV68" s="346">
        <f t="shared" si="56"/>
        <v>0</v>
      </c>
    </row>
    <row r="69" spans="1:303" s="4" customFormat="1" ht="171" x14ac:dyDescent="0.25">
      <c r="A69" s="351" t="s">
        <v>79</v>
      </c>
      <c r="B69" s="351" t="s">
        <v>80</v>
      </c>
      <c r="C69" s="351" t="s">
        <v>81</v>
      </c>
      <c r="D69" s="351" t="s">
        <v>82</v>
      </c>
      <c r="E69" s="351" t="s">
        <v>83</v>
      </c>
      <c r="F69" s="351" t="s">
        <v>84</v>
      </c>
      <c r="G69" s="351" t="s">
        <v>85</v>
      </c>
      <c r="H69" s="351" t="s">
        <v>86</v>
      </c>
      <c r="I69" s="351" t="s">
        <v>87</v>
      </c>
      <c r="J69" s="351" t="s">
        <v>152</v>
      </c>
      <c r="K69" s="368" t="s">
        <v>442</v>
      </c>
      <c r="L69" s="368" t="s">
        <v>89</v>
      </c>
      <c r="M69" s="478" t="s">
        <v>195</v>
      </c>
      <c r="N69" s="367" t="s">
        <v>91</v>
      </c>
      <c r="O69" s="367" t="s">
        <v>154</v>
      </c>
      <c r="P69" s="930">
        <v>39542136.277533107</v>
      </c>
      <c r="Q69" s="368" t="s">
        <v>94</v>
      </c>
      <c r="R69" s="368" t="s">
        <v>156</v>
      </c>
      <c r="S69" s="357">
        <v>7</v>
      </c>
      <c r="T69" s="369" t="s">
        <v>196</v>
      </c>
      <c r="U69" s="357" t="s">
        <v>158</v>
      </c>
      <c r="V69" s="370" t="s">
        <v>98</v>
      </c>
      <c r="W69" s="497" t="s">
        <v>197</v>
      </c>
      <c r="X69" s="432">
        <v>0</v>
      </c>
      <c r="Y69" s="432">
        <f>1/7</f>
        <v>0.14285714285714285</v>
      </c>
      <c r="Z69" s="432">
        <f>3/7</f>
        <v>0.42857142857142855</v>
      </c>
      <c r="AA69" s="444">
        <f>3/7</f>
        <v>0.42857142857142855</v>
      </c>
      <c r="AB69" s="525">
        <v>7.69</v>
      </c>
      <c r="AC69" s="413">
        <v>1.2987012987012987</v>
      </c>
      <c r="AD69" s="413">
        <v>0.37179461538461539</v>
      </c>
      <c r="AE69" s="413">
        <v>0.37727272727272726</v>
      </c>
      <c r="AF69" s="692">
        <f t="shared" si="57"/>
        <v>0</v>
      </c>
      <c r="AG69" s="693" t="s">
        <v>146</v>
      </c>
      <c r="AH69" s="698">
        <v>0</v>
      </c>
      <c r="AI69" s="695"/>
      <c r="AJ69" s="693"/>
      <c r="AK69" s="693"/>
      <c r="AL69" s="692">
        <f t="shared" si="37"/>
        <v>0</v>
      </c>
      <c r="AM69" s="695" t="s">
        <v>121</v>
      </c>
      <c r="AN69" s="693">
        <f t="shared" si="38"/>
        <v>0</v>
      </c>
      <c r="AO69" s="693">
        <f t="shared" si="39"/>
        <v>0</v>
      </c>
      <c r="AP69" s="693">
        <f t="shared" si="40"/>
        <v>0</v>
      </c>
      <c r="AQ69" s="693"/>
      <c r="AR69" s="401">
        <f t="shared" si="58"/>
        <v>0.14285714285714285</v>
      </c>
      <c r="AS69" s="402" t="s">
        <v>100</v>
      </c>
      <c r="AT69" s="408">
        <v>0</v>
      </c>
      <c r="AU69" s="406"/>
      <c r="AV69" s="402"/>
      <c r="AW69" s="729" t="str">
        <f t="shared" si="51"/>
        <v>BAJO</v>
      </c>
      <c r="AX69" s="397">
        <f t="shared" si="41"/>
        <v>0</v>
      </c>
      <c r="AY69" s="399" t="s">
        <v>522</v>
      </c>
      <c r="AZ69" s="398">
        <f t="shared" si="42"/>
        <v>0</v>
      </c>
      <c r="BA69" s="398">
        <f t="shared" si="43"/>
        <v>0</v>
      </c>
      <c r="BB69" s="398">
        <f t="shared" si="44"/>
        <v>0</v>
      </c>
      <c r="BC69" s="15"/>
      <c r="BD69" s="14">
        <f t="shared" si="45"/>
        <v>0.42857142857142855</v>
      </c>
      <c r="BE69" s="677" t="s">
        <v>100</v>
      </c>
      <c r="BF69" s="681">
        <v>0</v>
      </c>
      <c r="BG69" s="754" t="s">
        <v>533</v>
      </c>
      <c r="BH69" s="680" t="s">
        <v>534</v>
      </c>
      <c r="BI69" s="658" t="str">
        <f t="shared" si="31"/>
        <v>BAJO</v>
      </c>
      <c r="BJ69" s="681">
        <f t="shared" si="46"/>
        <v>0</v>
      </c>
      <c r="BK69" s="647" t="s">
        <v>535</v>
      </c>
      <c r="BL69" s="682">
        <f t="shared" si="19"/>
        <v>0</v>
      </c>
      <c r="BM69" s="682">
        <f t="shared" si="20"/>
        <v>0</v>
      </c>
      <c r="BN69" s="682">
        <f t="shared" si="21"/>
        <v>0</v>
      </c>
      <c r="BO69" s="658"/>
      <c r="BP69" s="853">
        <f t="shared" si="59"/>
        <v>0.42857142857142855</v>
      </c>
      <c r="BQ69" s="854" t="s">
        <v>105</v>
      </c>
      <c r="BR69" s="873">
        <v>0</v>
      </c>
      <c r="BS69" s="874"/>
      <c r="BT69" s="872"/>
      <c r="BU69" s="907" t="str">
        <f t="shared" si="47"/>
        <v>BAJO</v>
      </c>
      <c r="BV69" s="875">
        <f t="shared" si="60"/>
        <v>0</v>
      </c>
      <c r="BW69" s="862" t="s">
        <v>536</v>
      </c>
      <c r="BX69" s="857">
        <f t="shared" si="24"/>
        <v>0</v>
      </c>
      <c r="BY69" s="857">
        <f t="shared" si="25"/>
        <v>0</v>
      </c>
      <c r="BZ69" s="857">
        <f t="shared" si="26"/>
        <v>0</v>
      </c>
      <c r="CA69" s="857">
        <f t="shared" si="27"/>
        <v>0</v>
      </c>
      <c r="CB69" s="16">
        <f t="shared" si="28"/>
        <v>0.8571428571428571</v>
      </c>
      <c r="CC69" s="16">
        <f t="shared" si="29"/>
        <v>0.14285714285714285</v>
      </c>
      <c r="CD69" s="16">
        <f t="shared" ref="CD69:CD93" si="61">SUM(X69+Y69+Z69+AA69)</f>
        <v>1</v>
      </c>
      <c r="CE69" s="16">
        <f t="shared" ref="CE69:CE93" si="62">SUM(AL69+AX69+BJ69+BV69)</f>
        <v>0</v>
      </c>
      <c r="CF69" s="16" t="e">
        <f>SUM(#REF!/(CC69+CB69))</f>
        <v>#REF!</v>
      </c>
      <c r="CG69" s="17"/>
      <c r="CH69" s="17"/>
      <c r="CI69" s="17"/>
      <c r="CJ69" s="17"/>
      <c r="CK69" s="3" t="s">
        <v>165</v>
      </c>
      <c r="CL69" s="1"/>
      <c r="CM69" s="1"/>
      <c r="CN69" s="1"/>
      <c r="CO69" s="1"/>
      <c r="CP69" s="1"/>
      <c r="CQ69" s="1"/>
      <c r="CR69" s="1"/>
      <c r="CS69" s="1"/>
      <c r="CT69" s="1"/>
      <c r="CU69" s="1"/>
      <c r="CV69" s="346">
        <f t="shared" si="56"/>
        <v>1</v>
      </c>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c r="GF69" s="1"/>
      <c r="GG69" s="1"/>
      <c r="GH69" s="1"/>
      <c r="GI69" s="1"/>
      <c r="GJ69" s="1"/>
      <c r="GK69" s="1"/>
      <c r="GL69" s="1"/>
      <c r="GM69" s="1"/>
      <c r="GN69" s="1"/>
      <c r="GO69" s="1"/>
      <c r="GP69" s="1"/>
      <c r="GQ69" s="1"/>
      <c r="GR69" s="1"/>
      <c r="GS69" s="1"/>
      <c r="GT69" s="1"/>
      <c r="GU69" s="1"/>
      <c r="GV69" s="1"/>
      <c r="GW69" s="1"/>
      <c r="GX69" s="1"/>
      <c r="GY69" s="1"/>
      <c r="GZ69" s="1"/>
      <c r="HA69" s="1"/>
      <c r="HB69" s="1"/>
      <c r="HC69" s="1"/>
      <c r="HD69" s="1"/>
      <c r="HE69" s="1"/>
      <c r="HF69" s="1"/>
      <c r="HG69" s="1"/>
      <c r="HH69" s="1"/>
      <c r="HI69" s="1"/>
      <c r="HJ69" s="1"/>
      <c r="HK69" s="1"/>
      <c r="HL69" s="1"/>
      <c r="HM69" s="1"/>
      <c r="HN69" s="1"/>
      <c r="HO69" s="1"/>
      <c r="HP69" s="1"/>
      <c r="HQ69" s="1"/>
      <c r="HR69" s="1"/>
      <c r="HS69" s="1"/>
      <c r="HT69" s="1"/>
      <c r="HU69" s="1"/>
      <c r="HV69" s="1"/>
      <c r="HW69" s="1"/>
      <c r="HX69" s="1"/>
      <c r="HY69" s="1"/>
      <c r="HZ69" s="1"/>
      <c r="IA69" s="1"/>
      <c r="IB69" s="1"/>
      <c r="IC69" s="1"/>
      <c r="ID69" s="1"/>
      <c r="IE69" s="1"/>
      <c r="IF69" s="1"/>
      <c r="IG69" s="1"/>
      <c r="IH69" s="1"/>
      <c r="II69" s="1"/>
      <c r="IJ69" s="1"/>
      <c r="IK69" s="1"/>
      <c r="IL69" s="1"/>
      <c r="IM69" s="1"/>
      <c r="IN69" s="1"/>
      <c r="IO69" s="1"/>
      <c r="IP69" s="1"/>
      <c r="IQ69" s="1"/>
      <c r="IR69" s="1"/>
      <c r="IS69" s="1"/>
      <c r="IT69" s="1"/>
      <c r="IU69" s="1"/>
      <c r="IV69" s="1"/>
      <c r="IW69" s="1"/>
      <c r="IX69" s="1"/>
      <c r="IY69" s="1"/>
      <c r="IZ69" s="1"/>
      <c r="JA69" s="1"/>
      <c r="JB69" s="1"/>
      <c r="JC69" s="1"/>
      <c r="JD69" s="1"/>
      <c r="JE69" s="1"/>
      <c r="JF69" s="1"/>
      <c r="JG69" s="1"/>
      <c r="JH69" s="1"/>
      <c r="JI69" s="1"/>
      <c r="JJ69" s="1"/>
      <c r="JK69" s="1"/>
      <c r="JL69" s="1"/>
      <c r="JM69" s="1"/>
      <c r="JN69" s="1"/>
      <c r="JO69" s="1"/>
      <c r="JP69" s="1"/>
      <c r="JQ69" s="1"/>
      <c r="JR69" s="1"/>
      <c r="JS69" s="1"/>
      <c r="JT69" s="1"/>
      <c r="JU69" s="1"/>
      <c r="JV69" s="1"/>
      <c r="JW69" s="1"/>
      <c r="JX69" s="1"/>
      <c r="JY69" s="1"/>
      <c r="JZ69" s="1"/>
      <c r="KA69" s="1"/>
      <c r="KB69" s="1"/>
      <c r="KC69" s="1"/>
      <c r="KD69" s="1"/>
      <c r="KE69" s="1"/>
      <c r="KF69" s="1"/>
      <c r="KG69" s="1"/>
      <c r="KH69" s="1"/>
      <c r="KI69" s="1"/>
      <c r="KJ69" s="1"/>
      <c r="KK69" s="1"/>
      <c r="KL69" s="1"/>
      <c r="KM69" s="1"/>
      <c r="KN69" s="1"/>
      <c r="KO69" s="1"/>
      <c r="KP69" s="1"/>
      <c r="KQ69" s="1"/>
    </row>
    <row r="70" spans="1:303" s="4" customFormat="1" ht="171" x14ac:dyDescent="0.25">
      <c r="A70" s="351" t="s">
        <v>79</v>
      </c>
      <c r="B70" s="351" t="s">
        <v>80</v>
      </c>
      <c r="C70" s="351" t="s">
        <v>81</v>
      </c>
      <c r="D70" s="351" t="s">
        <v>82</v>
      </c>
      <c r="E70" s="351" t="s">
        <v>83</v>
      </c>
      <c r="F70" s="351" t="s">
        <v>84</v>
      </c>
      <c r="G70" s="351" t="s">
        <v>85</v>
      </c>
      <c r="H70" s="351" t="s">
        <v>86</v>
      </c>
      <c r="I70" s="351" t="s">
        <v>87</v>
      </c>
      <c r="J70" s="351" t="s">
        <v>152</v>
      </c>
      <c r="K70" s="368" t="s">
        <v>442</v>
      </c>
      <c r="L70" s="368" t="s">
        <v>89</v>
      </c>
      <c r="M70" s="478" t="s">
        <v>201</v>
      </c>
      <c r="N70" s="367" t="s">
        <v>91</v>
      </c>
      <c r="O70" s="367" t="s">
        <v>202</v>
      </c>
      <c r="P70" s="930">
        <v>39542136.277533107</v>
      </c>
      <c r="Q70" s="368" t="s">
        <v>94</v>
      </c>
      <c r="R70" s="368" t="s">
        <v>156</v>
      </c>
      <c r="S70" s="480">
        <v>1</v>
      </c>
      <c r="T70" s="479" t="s">
        <v>201</v>
      </c>
      <c r="U70" s="479" t="s">
        <v>204</v>
      </c>
      <c r="V70" s="491" t="s">
        <v>98</v>
      </c>
      <c r="W70" s="501" t="s">
        <v>205</v>
      </c>
      <c r="X70" s="432">
        <v>0</v>
      </c>
      <c r="Y70" s="432">
        <v>0</v>
      </c>
      <c r="Z70" s="432">
        <v>0</v>
      </c>
      <c r="AA70" s="521">
        <v>1</v>
      </c>
      <c r="AB70" s="525">
        <v>7.69</v>
      </c>
      <c r="AC70" s="413">
        <v>1.2987012987012987</v>
      </c>
      <c r="AD70" s="413">
        <v>0.37179461538461539</v>
      </c>
      <c r="AE70" s="413">
        <v>0.37727272727272726</v>
      </c>
      <c r="AF70" s="692">
        <f t="shared" si="57"/>
        <v>0</v>
      </c>
      <c r="AG70" s="693" t="s">
        <v>146</v>
      </c>
      <c r="AH70" s="698">
        <v>0</v>
      </c>
      <c r="AI70" s="693"/>
      <c r="AJ70" s="693"/>
      <c r="AK70" s="693"/>
      <c r="AL70" s="692">
        <f t="shared" si="37"/>
        <v>0</v>
      </c>
      <c r="AM70" s="695" t="s">
        <v>121</v>
      </c>
      <c r="AN70" s="693">
        <f t="shared" si="38"/>
        <v>0</v>
      </c>
      <c r="AO70" s="693">
        <f t="shared" si="39"/>
        <v>0</v>
      </c>
      <c r="AP70" s="693">
        <f t="shared" si="40"/>
        <v>0</v>
      </c>
      <c r="AQ70" s="693"/>
      <c r="AR70" s="401">
        <f t="shared" si="58"/>
        <v>0</v>
      </c>
      <c r="AS70" s="402" t="s">
        <v>146</v>
      </c>
      <c r="AT70" s="408">
        <v>0</v>
      </c>
      <c r="AU70" s="406"/>
      <c r="AV70" s="402"/>
      <c r="AW70" s="729"/>
      <c r="AX70" s="397">
        <f t="shared" si="41"/>
        <v>0</v>
      </c>
      <c r="AY70" s="399" t="s">
        <v>121</v>
      </c>
      <c r="AZ70" s="398">
        <f t="shared" si="42"/>
        <v>0</v>
      </c>
      <c r="BA70" s="398">
        <f t="shared" si="43"/>
        <v>0</v>
      </c>
      <c r="BB70" s="398">
        <f t="shared" si="44"/>
        <v>0</v>
      </c>
      <c r="BC70" s="15"/>
      <c r="BD70" s="14">
        <f t="shared" si="45"/>
        <v>0</v>
      </c>
      <c r="BE70" s="681" t="s">
        <v>146</v>
      </c>
      <c r="BF70" s="681"/>
      <c r="BG70" s="754" t="s">
        <v>121</v>
      </c>
      <c r="BH70" s="754" t="s">
        <v>121</v>
      </c>
      <c r="BI70" s="658" t="str">
        <f t="shared" si="31"/>
        <v>BAJO</v>
      </c>
      <c r="BJ70" s="681">
        <f t="shared" si="46"/>
        <v>0</v>
      </c>
      <c r="BK70" s="658" t="s">
        <v>149</v>
      </c>
      <c r="BL70" s="682">
        <f t="shared" si="19"/>
        <v>0</v>
      </c>
      <c r="BM70" s="682">
        <f t="shared" si="20"/>
        <v>0</v>
      </c>
      <c r="BN70" s="682">
        <f t="shared" si="21"/>
        <v>0</v>
      </c>
      <c r="BO70" s="658"/>
      <c r="BP70" s="853">
        <f t="shared" si="59"/>
        <v>1</v>
      </c>
      <c r="BQ70" s="854" t="s">
        <v>105</v>
      </c>
      <c r="BR70" s="873">
        <v>0</v>
      </c>
      <c r="BS70" s="874"/>
      <c r="BT70" s="872"/>
      <c r="BU70" s="907" t="str">
        <f t="shared" si="47"/>
        <v>BAJO</v>
      </c>
      <c r="BV70" s="875">
        <f t="shared" si="60"/>
        <v>0</v>
      </c>
      <c r="BW70" s="862" t="s">
        <v>537</v>
      </c>
      <c r="BX70" s="857">
        <f t="shared" si="24"/>
        <v>0</v>
      </c>
      <c r="BY70" s="857">
        <f t="shared" si="25"/>
        <v>0</v>
      </c>
      <c r="BZ70" s="857">
        <f t="shared" si="26"/>
        <v>0</v>
      </c>
      <c r="CA70" s="857">
        <f t="shared" si="27"/>
        <v>0</v>
      </c>
      <c r="CB70" s="16">
        <f t="shared" si="28"/>
        <v>1</v>
      </c>
      <c r="CC70" s="16">
        <f t="shared" si="29"/>
        <v>0</v>
      </c>
      <c r="CD70" s="16">
        <f t="shared" si="61"/>
        <v>1</v>
      </c>
      <c r="CE70" s="16">
        <f t="shared" si="62"/>
        <v>0</v>
      </c>
      <c r="CF70" s="16" t="e">
        <f>SUM(#REF!/(CC70+CB70))</f>
        <v>#REF!</v>
      </c>
      <c r="CG70" s="17"/>
      <c r="CH70" s="17"/>
      <c r="CI70" s="17"/>
      <c r="CJ70" s="17"/>
      <c r="CK70" s="3" t="s">
        <v>165</v>
      </c>
      <c r="CL70" s="1"/>
      <c r="CM70" s="1"/>
      <c r="CN70" s="1"/>
      <c r="CO70" s="1"/>
      <c r="CP70" s="1"/>
      <c r="CQ70" s="1"/>
      <c r="CR70" s="1"/>
      <c r="CS70" s="1"/>
      <c r="CT70" s="1"/>
      <c r="CU70" s="1"/>
      <c r="CV70" s="346">
        <f t="shared" si="56"/>
        <v>1</v>
      </c>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c r="GF70" s="1"/>
      <c r="GG70" s="1"/>
      <c r="GH70" s="1"/>
      <c r="GI70" s="1"/>
      <c r="GJ70" s="1"/>
      <c r="GK70" s="1"/>
      <c r="GL70" s="1"/>
      <c r="GM70" s="1"/>
      <c r="GN70" s="1"/>
      <c r="GO70" s="1"/>
      <c r="GP70" s="1"/>
      <c r="GQ70" s="1"/>
      <c r="GR70" s="1"/>
      <c r="GS70" s="1"/>
      <c r="GT70" s="1"/>
      <c r="GU70" s="1"/>
      <c r="GV70" s="1"/>
      <c r="GW70" s="1"/>
      <c r="GX70" s="1"/>
      <c r="GY70" s="1"/>
      <c r="GZ70" s="1"/>
      <c r="HA70" s="1"/>
      <c r="HB70" s="1"/>
      <c r="HC70" s="1"/>
      <c r="HD70" s="1"/>
      <c r="HE70" s="1"/>
      <c r="HF70" s="1"/>
      <c r="HG70" s="1"/>
      <c r="HH70" s="1"/>
      <c r="HI70" s="1"/>
      <c r="HJ70" s="1"/>
      <c r="HK70" s="1"/>
      <c r="HL70" s="1"/>
      <c r="HM70" s="1"/>
      <c r="HN70" s="1"/>
      <c r="HO70" s="1"/>
      <c r="HP70" s="1"/>
      <c r="HQ70" s="1"/>
      <c r="HR70" s="1"/>
      <c r="HS70" s="1"/>
      <c r="HT70" s="1"/>
      <c r="HU70" s="1"/>
      <c r="HV70" s="1"/>
      <c r="HW70" s="1"/>
      <c r="HX70" s="1"/>
      <c r="HY70" s="1"/>
      <c r="HZ70" s="1"/>
      <c r="IA70" s="1"/>
      <c r="IB70" s="1"/>
      <c r="IC70" s="1"/>
      <c r="ID70" s="1"/>
      <c r="IE70" s="1"/>
      <c r="IF70" s="1"/>
      <c r="IG70" s="1"/>
      <c r="IH70" s="1"/>
      <c r="II70" s="1"/>
      <c r="IJ70" s="1"/>
      <c r="IK70" s="1"/>
      <c r="IL70" s="1"/>
      <c r="IM70" s="1"/>
      <c r="IN70" s="1"/>
      <c r="IO70" s="1"/>
      <c r="IP70" s="1"/>
      <c r="IQ70" s="1"/>
      <c r="IR70" s="1"/>
      <c r="IS70" s="1"/>
      <c r="IT70" s="1"/>
      <c r="IU70" s="1"/>
      <c r="IV70" s="1"/>
      <c r="IW70" s="1"/>
      <c r="IX70" s="1"/>
      <c r="IY70" s="1"/>
      <c r="IZ70" s="1"/>
      <c r="JA70" s="1"/>
      <c r="JB70" s="1"/>
      <c r="JC70" s="1"/>
      <c r="JD70" s="1"/>
      <c r="JE70" s="1"/>
      <c r="JF70" s="1"/>
      <c r="JG70" s="1"/>
      <c r="JH70" s="1"/>
      <c r="JI70" s="1"/>
      <c r="JJ70" s="1"/>
      <c r="JK70" s="1"/>
      <c r="JL70" s="1"/>
      <c r="JM70" s="1"/>
      <c r="JN70" s="1"/>
      <c r="JO70" s="1"/>
      <c r="JP70" s="1"/>
      <c r="JQ70" s="1"/>
      <c r="JR70" s="1"/>
      <c r="JS70" s="1"/>
      <c r="JT70" s="1"/>
      <c r="JU70" s="1"/>
      <c r="JV70" s="1"/>
      <c r="JW70" s="1"/>
      <c r="JX70" s="1"/>
      <c r="JY70" s="1"/>
      <c r="JZ70" s="1"/>
      <c r="KA70" s="1"/>
      <c r="KB70" s="1"/>
      <c r="KC70" s="1"/>
      <c r="KD70" s="1"/>
      <c r="KE70" s="1"/>
      <c r="KF70" s="1"/>
      <c r="KG70" s="1"/>
      <c r="KH70" s="1"/>
      <c r="KI70" s="1"/>
      <c r="KJ70" s="1"/>
      <c r="KK70" s="1"/>
      <c r="KL70" s="1"/>
      <c r="KM70" s="1"/>
      <c r="KN70" s="1"/>
      <c r="KO70" s="1"/>
      <c r="KP70" s="1"/>
      <c r="KQ70" s="1"/>
    </row>
    <row r="71" spans="1:303" s="4" customFormat="1" ht="333.75" customHeight="1" x14ac:dyDescent="0.25">
      <c r="A71" s="659" t="s">
        <v>79</v>
      </c>
      <c r="B71" s="659" t="s">
        <v>80</v>
      </c>
      <c r="C71" s="659" t="s">
        <v>81</v>
      </c>
      <c r="D71" s="659" t="s">
        <v>82</v>
      </c>
      <c r="E71" s="659" t="s">
        <v>83</v>
      </c>
      <c r="F71" s="659" t="s">
        <v>84</v>
      </c>
      <c r="G71" s="659" t="s">
        <v>85</v>
      </c>
      <c r="H71" s="659" t="s">
        <v>86</v>
      </c>
      <c r="I71" s="659" t="s">
        <v>87</v>
      </c>
      <c r="J71" s="659" t="s">
        <v>88</v>
      </c>
      <c r="K71" s="660" t="s">
        <v>538</v>
      </c>
      <c r="L71" s="660" t="s">
        <v>539</v>
      </c>
      <c r="M71" s="456" t="s">
        <v>540</v>
      </c>
      <c r="N71" s="661" t="s">
        <v>541</v>
      </c>
      <c r="O71" s="661" t="s">
        <v>542</v>
      </c>
      <c r="P71" s="922">
        <v>39542136.277533107</v>
      </c>
      <c r="Q71" s="663" t="s">
        <v>543</v>
      </c>
      <c r="R71" s="664" t="s">
        <v>213</v>
      </c>
      <c r="S71" s="665">
        <v>12</v>
      </c>
      <c r="T71" s="664" t="s">
        <v>544</v>
      </c>
      <c r="U71" s="664" t="s">
        <v>545</v>
      </c>
      <c r="V71" s="665">
        <v>0</v>
      </c>
      <c r="W71" s="551" t="s">
        <v>546</v>
      </c>
      <c r="X71" s="666"/>
      <c r="Y71" s="667">
        <v>0.5</v>
      </c>
      <c r="Z71" s="668">
        <v>0.25</v>
      </c>
      <c r="AA71" s="669">
        <v>0.25</v>
      </c>
      <c r="AB71" s="670">
        <v>7.15</v>
      </c>
      <c r="AC71" s="671">
        <v>0.99009900990099009</v>
      </c>
      <c r="AD71" s="671">
        <v>0.38730157142857141</v>
      </c>
      <c r="AE71" s="413">
        <v>0.37727272727272726</v>
      </c>
      <c r="AF71" s="692">
        <f t="shared" si="57"/>
        <v>0</v>
      </c>
      <c r="AG71" s="693" t="s">
        <v>146</v>
      </c>
      <c r="AH71" s="698">
        <v>0</v>
      </c>
      <c r="AI71" s="693"/>
      <c r="AJ71" s="693"/>
      <c r="AK71" s="693"/>
      <c r="AL71" s="692">
        <f t="shared" si="37"/>
        <v>0</v>
      </c>
      <c r="AM71" s="695" t="s">
        <v>121</v>
      </c>
      <c r="AN71" s="693">
        <f t="shared" si="38"/>
        <v>0</v>
      </c>
      <c r="AO71" s="693">
        <f t="shared" si="39"/>
        <v>0</v>
      </c>
      <c r="AP71" s="693">
        <f t="shared" si="40"/>
        <v>0</v>
      </c>
      <c r="AQ71" s="693"/>
      <c r="AR71" s="672">
        <f t="shared" si="58"/>
        <v>0.5</v>
      </c>
      <c r="AS71" s="402" t="s">
        <v>100</v>
      </c>
      <c r="AT71" s="643">
        <f>2/6</f>
        <v>0.33333333333333331</v>
      </c>
      <c r="AU71" s="631" t="s">
        <v>547</v>
      </c>
      <c r="AV71" s="400"/>
      <c r="AW71" s="729" t="str">
        <f t="shared" si="51"/>
        <v>BAJO</v>
      </c>
      <c r="AX71" s="397">
        <f t="shared" si="41"/>
        <v>0.16666666666666666</v>
      </c>
      <c r="AY71" s="400" t="s">
        <v>548</v>
      </c>
      <c r="AZ71" s="398">
        <f t="shared" si="42"/>
        <v>1.1916666666666667</v>
      </c>
      <c r="BA71" s="398">
        <f t="shared" si="43"/>
        <v>0.16501650165016502</v>
      </c>
      <c r="BB71" s="398">
        <f t="shared" si="44"/>
        <v>6.4550261904761902E-2</v>
      </c>
      <c r="BC71" s="678"/>
      <c r="BD71" s="677">
        <f t="shared" si="45"/>
        <v>0.25</v>
      </c>
      <c r="BE71" s="677" t="s">
        <v>100</v>
      </c>
      <c r="BF71" s="679">
        <f>3/3</f>
        <v>1</v>
      </c>
      <c r="BG71" s="680" t="s">
        <v>549</v>
      </c>
      <c r="BH71" s="658"/>
      <c r="BI71" s="658" t="str">
        <f t="shared" si="31"/>
        <v>ALTO</v>
      </c>
      <c r="BJ71" s="681">
        <f t="shared" si="46"/>
        <v>0.25</v>
      </c>
      <c r="BK71" s="647" t="s">
        <v>550</v>
      </c>
      <c r="BL71" s="682">
        <f t="shared" si="19"/>
        <v>3.4965034965034961E-2</v>
      </c>
      <c r="BM71" s="682">
        <f t="shared" si="20"/>
        <v>0.2525</v>
      </c>
      <c r="BN71" s="682">
        <f t="shared" si="21"/>
        <v>0.64549182973327179</v>
      </c>
      <c r="BO71" s="658"/>
      <c r="BP71" s="853">
        <f t="shared" si="59"/>
        <v>0.25</v>
      </c>
      <c r="BQ71" s="854" t="s">
        <v>105</v>
      </c>
      <c r="BR71" s="873">
        <f>66/100</f>
        <v>0.66</v>
      </c>
      <c r="BS71" s="874" t="s">
        <v>551</v>
      </c>
      <c r="BT71" s="872" t="s">
        <v>552</v>
      </c>
      <c r="BU71" s="906" t="str">
        <f t="shared" si="47"/>
        <v>MEDIO</v>
      </c>
      <c r="BV71" s="875">
        <f t="shared" si="60"/>
        <v>0.16500000000000001</v>
      </c>
      <c r="BW71" s="874" t="s">
        <v>553</v>
      </c>
      <c r="BX71" s="857">
        <f t="shared" si="24"/>
        <v>1.1797500000000001</v>
      </c>
      <c r="BY71" s="857">
        <f t="shared" si="25"/>
        <v>0.16336633663366337</v>
      </c>
      <c r="BZ71" s="857">
        <f t="shared" si="26"/>
        <v>6.3904759285714291E-2</v>
      </c>
      <c r="CA71" s="857">
        <f t="shared" si="27"/>
        <v>6.225E-2</v>
      </c>
      <c r="CB71" s="16">
        <f t="shared" si="28"/>
        <v>0.5</v>
      </c>
      <c r="CC71" s="16">
        <f t="shared" si="29"/>
        <v>0.5</v>
      </c>
      <c r="CD71" s="16">
        <f t="shared" si="61"/>
        <v>1</v>
      </c>
      <c r="CE71" s="16">
        <f t="shared" si="62"/>
        <v>0.58166666666666667</v>
      </c>
      <c r="CF71" s="16" t="e">
        <f>SUM(#REF!/(CC71+CB71))</f>
        <v>#REF!</v>
      </c>
      <c r="CG71" s="658"/>
      <c r="CH71" s="658"/>
      <c r="CI71" s="658"/>
      <c r="CJ71" s="658"/>
      <c r="CK71" s="5"/>
      <c r="CL71" s="5"/>
      <c r="CM71" s="5"/>
      <c r="CN71" s="5"/>
      <c r="CO71" s="5"/>
      <c r="CP71" s="5"/>
      <c r="CQ71" s="5"/>
      <c r="CR71" s="5"/>
      <c r="CS71" s="5"/>
      <c r="CT71" s="5"/>
      <c r="CU71" s="5"/>
      <c r="CV71" s="683">
        <f t="shared" si="56"/>
        <v>1</v>
      </c>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row>
    <row r="72" spans="1:303" s="4" customFormat="1" ht="242.25" x14ac:dyDescent="0.25">
      <c r="A72" s="350" t="s">
        <v>79</v>
      </c>
      <c r="B72" s="350" t="s">
        <v>80</v>
      </c>
      <c r="C72" s="350" t="s">
        <v>81</v>
      </c>
      <c r="D72" s="350" t="s">
        <v>82</v>
      </c>
      <c r="E72" s="350" t="s">
        <v>83</v>
      </c>
      <c r="F72" s="350" t="s">
        <v>84</v>
      </c>
      <c r="G72" s="350" t="s">
        <v>85</v>
      </c>
      <c r="H72" s="350" t="s">
        <v>86</v>
      </c>
      <c r="I72" s="350" t="s">
        <v>87</v>
      </c>
      <c r="J72" s="350" t="s">
        <v>88</v>
      </c>
      <c r="K72" s="352" t="s">
        <v>538</v>
      </c>
      <c r="L72" s="352" t="s">
        <v>539</v>
      </c>
      <c r="M72" s="456" t="s">
        <v>554</v>
      </c>
      <c r="N72" s="361" t="s">
        <v>541</v>
      </c>
      <c r="O72" s="361" t="s">
        <v>542</v>
      </c>
      <c r="P72" s="922">
        <v>39542136.277533107</v>
      </c>
      <c r="Q72" s="482" t="s">
        <v>543</v>
      </c>
      <c r="R72" s="476" t="s">
        <v>213</v>
      </c>
      <c r="S72" s="483">
        <v>1</v>
      </c>
      <c r="T72" s="476" t="s">
        <v>555</v>
      </c>
      <c r="U72" s="476" t="s">
        <v>556</v>
      </c>
      <c r="V72" s="481" t="s">
        <v>98</v>
      </c>
      <c r="W72" s="551" t="s">
        <v>557</v>
      </c>
      <c r="X72" s="437">
        <v>0.25</v>
      </c>
      <c r="Y72" s="448">
        <v>0.25</v>
      </c>
      <c r="Z72" s="448">
        <v>0.25</v>
      </c>
      <c r="AA72" s="520">
        <v>0.25</v>
      </c>
      <c r="AB72" s="525">
        <v>7.15</v>
      </c>
      <c r="AC72" s="413">
        <v>0.99009900990099009</v>
      </c>
      <c r="AD72" s="413">
        <v>0.38730157142857141</v>
      </c>
      <c r="AE72" s="413">
        <v>0.37727272727272726</v>
      </c>
      <c r="AF72" s="692">
        <f t="shared" si="57"/>
        <v>0.25</v>
      </c>
      <c r="AG72" s="693" t="s">
        <v>100</v>
      </c>
      <c r="AH72" s="694">
        <f>1/2</f>
        <v>0.5</v>
      </c>
      <c r="AI72" s="695" t="s">
        <v>558</v>
      </c>
      <c r="AJ72" s="693"/>
      <c r="AK72" s="693" t="str">
        <f>+IF(AND(AH72&gt;=0%,AH72&lt;=60%),"BAJO",IF(AND(AH72&gt;=61%,AH72&lt;=80%),"MEDIO","ALTO"))</f>
        <v>BAJO</v>
      </c>
      <c r="AL72" s="692">
        <f t="shared" si="37"/>
        <v>0.125</v>
      </c>
      <c r="AM72" s="695" t="s">
        <v>559</v>
      </c>
      <c r="AN72" s="693">
        <f t="shared" si="38"/>
        <v>0.89375000000000004</v>
      </c>
      <c r="AO72" s="693">
        <f t="shared" si="39"/>
        <v>0.12376237623762376</v>
      </c>
      <c r="AP72" s="693">
        <f t="shared" si="40"/>
        <v>4.8412696428571426E-2</v>
      </c>
      <c r="AQ72" s="693"/>
      <c r="AR72" s="401">
        <f t="shared" si="58"/>
        <v>0.25</v>
      </c>
      <c r="AS72" s="402" t="s">
        <v>100</v>
      </c>
      <c r="AT72" s="405">
        <v>0.8</v>
      </c>
      <c r="AU72" s="406" t="s">
        <v>560</v>
      </c>
      <c r="AV72" s="400"/>
      <c r="AW72" s="729" t="str">
        <f t="shared" si="51"/>
        <v>MEDIO</v>
      </c>
      <c r="AX72" s="397">
        <f t="shared" si="41"/>
        <v>0.2</v>
      </c>
      <c r="AY72" s="400" t="s">
        <v>561</v>
      </c>
      <c r="AZ72" s="398">
        <f t="shared" si="42"/>
        <v>1.4300000000000002</v>
      </c>
      <c r="BA72" s="398">
        <f t="shared" si="43"/>
        <v>0.19801980198019803</v>
      </c>
      <c r="BB72" s="398">
        <f t="shared" si="44"/>
        <v>7.7460314285714288E-2</v>
      </c>
      <c r="BC72" s="15"/>
      <c r="BD72" s="14">
        <f t="shared" si="45"/>
        <v>0.25</v>
      </c>
      <c r="BE72" s="677" t="s">
        <v>100</v>
      </c>
      <c r="BF72" s="679">
        <f>1/2</f>
        <v>0.5</v>
      </c>
      <c r="BG72" s="680" t="s">
        <v>562</v>
      </c>
      <c r="BH72" s="658"/>
      <c r="BI72" s="658" t="str">
        <f t="shared" si="31"/>
        <v>BAJO</v>
      </c>
      <c r="BJ72" s="681">
        <f t="shared" si="46"/>
        <v>0.125</v>
      </c>
      <c r="BK72" s="647" t="s">
        <v>563</v>
      </c>
      <c r="BL72" s="682">
        <f t="shared" si="19"/>
        <v>1.748251748251748E-2</v>
      </c>
      <c r="BM72" s="682">
        <f t="shared" si="20"/>
        <v>0.12625</v>
      </c>
      <c r="BN72" s="682">
        <f t="shared" si="21"/>
        <v>0.3227459148666359</v>
      </c>
      <c r="BO72" s="658"/>
      <c r="BP72" s="853">
        <f t="shared" si="59"/>
        <v>0.25</v>
      </c>
      <c r="BQ72" s="854" t="s">
        <v>105</v>
      </c>
      <c r="BR72" s="873">
        <f>100/100</f>
        <v>1</v>
      </c>
      <c r="BS72" s="874" t="s">
        <v>564</v>
      </c>
      <c r="BT72" s="872" t="s">
        <v>552</v>
      </c>
      <c r="BU72" s="905" t="str">
        <f t="shared" si="47"/>
        <v>ALTO</v>
      </c>
      <c r="BV72" s="875">
        <f t="shared" si="60"/>
        <v>0.25</v>
      </c>
      <c r="BW72" s="862" t="s">
        <v>517</v>
      </c>
      <c r="BX72" s="857">
        <f t="shared" si="24"/>
        <v>1.7875000000000001</v>
      </c>
      <c r="BY72" s="857">
        <f t="shared" si="25"/>
        <v>0.24752475247524752</v>
      </c>
      <c r="BZ72" s="857">
        <f t="shared" si="26"/>
        <v>9.6825392857142853E-2</v>
      </c>
      <c r="CA72" s="857">
        <f t="shared" si="27"/>
        <v>9.4318181818181815E-2</v>
      </c>
      <c r="CB72" s="16">
        <f t="shared" si="28"/>
        <v>0.5</v>
      </c>
      <c r="CC72" s="16">
        <f t="shared" si="29"/>
        <v>0.5</v>
      </c>
      <c r="CD72" s="16">
        <f t="shared" si="61"/>
        <v>1</v>
      </c>
      <c r="CE72" s="16">
        <f t="shared" si="62"/>
        <v>0.7</v>
      </c>
      <c r="CF72" s="16" t="e">
        <f>SUM(#REF!/(CC72+CB72))</f>
        <v>#REF!</v>
      </c>
      <c r="CG72" s="17"/>
      <c r="CH72" s="17"/>
      <c r="CI72" s="17"/>
      <c r="CJ72" s="17"/>
      <c r="CK72" s="1"/>
      <c r="CL72" s="1"/>
      <c r="CM72" s="1"/>
      <c r="CN72" s="1"/>
      <c r="CO72" s="1"/>
      <c r="CP72" s="1"/>
      <c r="CQ72" s="1"/>
      <c r="CR72" s="1"/>
      <c r="CS72" s="1"/>
      <c r="CT72" s="1"/>
      <c r="CU72" s="1"/>
      <c r="CV72" s="346">
        <f t="shared" si="56"/>
        <v>1</v>
      </c>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c r="GF72" s="1"/>
      <c r="GG72" s="1"/>
      <c r="GH72" s="1"/>
      <c r="GI72" s="1"/>
      <c r="GJ72" s="1"/>
      <c r="GK72" s="1"/>
      <c r="GL72" s="1"/>
      <c r="GM72" s="1"/>
      <c r="GN72" s="1"/>
      <c r="GO72" s="1"/>
      <c r="GP72" s="1"/>
      <c r="GQ72" s="1"/>
      <c r="GR72" s="1"/>
      <c r="GS72" s="1"/>
      <c r="GT72" s="1"/>
      <c r="GU72" s="1"/>
      <c r="GV72" s="1"/>
      <c r="GW72" s="1"/>
      <c r="GX72" s="1"/>
      <c r="GY72" s="1"/>
      <c r="GZ72" s="1"/>
      <c r="HA72" s="1"/>
      <c r="HB72" s="1"/>
      <c r="HC72" s="1"/>
      <c r="HD72" s="1"/>
      <c r="HE72" s="1"/>
      <c r="HF72" s="1"/>
      <c r="HG72" s="1"/>
      <c r="HH72" s="1"/>
      <c r="HI72" s="1"/>
      <c r="HJ72" s="1"/>
      <c r="HK72" s="1"/>
      <c r="HL72" s="1"/>
      <c r="HM72" s="1"/>
      <c r="HN72" s="1"/>
      <c r="HO72" s="1"/>
      <c r="HP72" s="1"/>
      <c r="HQ72" s="1"/>
      <c r="HR72" s="1"/>
      <c r="HS72" s="1"/>
      <c r="HT72" s="1"/>
      <c r="HU72" s="1"/>
      <c r="HV72" s="1"/>
      <c r="HW72" s="1"/>
      <c r="HX72" s="1"/>
      <c r="HY72" s="1"/>
      <c r="HZ72" s="1"/>
      <c r="IA72" s="1"/>
      <c r="IB72" s="1"/>
      <c r="IC72" s="1"/>
      <c r="ID72" s="1"/>
      <c r="IE72" s="1"/>
      <c r="IF72" s="1"/>
      <c r="IG72" s="1"/>
      <c r="IH72" s="1"/>
      <c r="II72" s="1"/>
      <c r="IJ72" s="1"/>
      <c r="IK72" s="1"/>
      <c r="IL72" s="1"/>
      <c r="IM72" s="1"/>
      <c r="IN72" s="1"/>
      <c r="IO72" s="1"/>
      <c r="IP72" s="1"/>
      <c r="IQ72" s="1"/>
      <c r="IR72" s="1"/>
      <c r="IS72" s="1"/>
      <c r="IT72" s="1"/>
      <c r="IU72" s="1"/>
      <c r="IV72" s="1"/>
      <c r="IW72" s="1"/>
      <c r="IX72" s="1"/>
      <c r="IY72" s="1"/>
      <c r="IZ72" s="1"/>
      <c r="JA72" s="1"/>
      <c r="JB72" s="1"/>
      <c r="JC72" s="1"/>
      <c r="JD72" s="1"/>
      <c r="JE72" s="1"/>
      <c r="JF72" s="1"/>
      <c r="JG72" s="1"/>
      <c r="JH72" s="1"/>
      <c r="JI72" s="1"/>
      <c r="JJ72" s="1"/>
      <c r="JK72" s="1"/>
      <c r="JL72" s="1"/>
      <c r="JM72" s="1"/>
      <c r="JN72" s="1"/>
      <c r="JO72" s="1"/>
      <c r="JP72" s="1"/>
      <c r="JQ72" s="1"/>
      <c r="JR72" s="1"/>
      <c r="JS72" s="1"/>
      <c r="JT72" s="1"/>
      <c r="JU72" s="1"/>
      <c r="JV72" s="1"/>
      <c r="JW72" s="1"/>
      <c r="JX72" s="1"/>
      <c r="JY72" s="1"/>
      <c r="JZ72" s="1"/>
      <c r="KA72" s="1"/>
      <c r="KB72" s="1"/>
      <c r="KC72" s="1"/>
      <c r="KD72" s="1"/>
      <c r="KE72" s="1"/>
      <c r="KF72" s="1"/>
      <c r="KG72" s="1"/>
      <c r="KH72" s="1"/>
      <c r="KI72" s="1"/>
      <c r="KJ72" s="1"/>
      <c r="KK72" s="1"/>
      <c r="KL72" s="1"/>
      <c r="KM72" s="1"/>
      <c r="KN72" s="1"/>
      <c r="KO72" s="1"/>
      <c r="KP72" s="1"/>
      <c r="KQ72" s="1"/>
    </row>
    <row r="73" spans="1:303" s="4" customFormat="1" ht="327.75" x14ac:dyDescent="0.25">
      <c r="A73" s="350" t="s">
        <v>79</v>
      </c>
      <c r="B73" s="350" t="s">
        <v>80</v>
      </c>
      <c r="C73" s="350" t="s">
        <v>81</v>
      </c>
      <c r="D73" s="350" t="s">
        <v>82</v>
      </c>
      <c r="E73" s="350" t="s">
        <v>83</v>
      </c>
      <c r="F73" s="350" t="s">
        <v>84</v>
      </c>
      <c r="G73" s="350" t="s">
        <v>85</v>
      </c>
      <c r="H73" s="350" t="s">
        <v>86</v>
      </c>
      <c r="I73" s="350" t="s">
        <v>87</v>
      </c>
      <c r="J73" s="350" t="s">
        <v>88</v>
      </c>
      <c r="K73" s="352" t="s">
        <v>538</v>
      </c>
      <c r="L73" s="352" t="s">
        <v>539</v>
      </c>
      <c r="M73" s="456" t="s">
        <v>565</v>
      </c>
      <c r="N73" s="361" t="s">
        <v>541</v>
      </c>
      <c r="O73" s="361" t="s">
        <v>542</v>
      </c>
      <c r="P73" s="922">
        <v>39542136.277533107</v>
      </c>
      <c r="Q73" s="482" t="s">
        <v>543</v>
      </c>
      <c r="R73" s="476" t="s">
        <v>213</v>
      </c>
      <c r="S73" s="481">
        <v>12</v>
      </c>
      <c r="T73" s="476" t="s">
        <v>566</v>
      </c>
      <c r="U73" s="476" t="s">
        <v>567</v>
      </c>
      <c r="V73" s="481" t="s">
        <v>119</v>
      </c>
      <c r="W73" s="500" t="s">
        <v>568</v>
      </c>
      <c r="X73" s="436"/>
      <c r="Y73" s="437">
        <v>0.5</v>
      </c>
      <c r="Z73" s="448">
        <v>0.25</v>
      </c>
      <c r="AA73" s="520">
        <v>0.25</v>
      </c>
      <c r="AB73" s="525">
        <v>7.15</v>
      </c>
      <c r="AC73" s="413">
        <v>0.99009900990099009</v>
      </c>
      <c r="AD73" s="413">
        <v>0.38730157142857141</v>
      </c>
      <c r="AE73" s="413">
        <v>0.37727272727272726</v>
      </c>
      <c r="AF73" s="692">
        <f t="shared" si="57"/>
        <v>0</v>
      </c>
      <c r="AG73" s="693" t="s">
        <v>146</v>
      </c>
      <c r="AH73" s="698">
        <v>0</v>
      </c>
      <c r="AI73" s="693"/>
      <c r="AJ73" s="693"/>
      <c r="AK73" s="693"/>
      <c r="AL73" s="692">
        <f t="shared" si="37"/>
        <v>0</v>
      </c>
      <c r="AM73" s="697" t="s">
        <v>121</v>
      </c>
      <c r="AN73" s="693">
        <f t="shared" si="38"/>
        <v>0</v>
      </c>
      <c r="AO73" s="693">
        <f t="shared" si="39"/>
        <v>0</v>
      </c>
      <c r="AP73" s="693">
        <f t="shared" si="40"/>
        <v>0</v>
      </c>
      <c r="AQ73" s="693"/>
      <c r="AR73" s="401">
        <f t="shared" si="58"/>
        <v>0.5</v>
      </c>
      <c r="AS73" s="402" t="s">
        <v>100</v>
      </c>
      <c r="AT73" s="405">
        <f>2/6</f>
        <v>0.33333333333333331</v>
      </c>
      <c r="AU73" s="406" t="s">
        <v>569</v>
      </c>
      <c r="AV73" s="400"/>
      <c r="AW73" s="729" t="str">
        <f t="shared" si="51"/>
        <v>BAJO</v>
      </c>
      <c r="AX73" s="397">
        <f t="shared" si="41"/>
        <v>0.16666666666666666</v>
      </c>
      <c r="AY73" s="400" t="s">
        <v>570</v>
      </c>
      <c r="AZ73" s="398">
        <f t="shared" si="42"/>
        <v>1.1916666666666667</v>
      </c>
      <c r="BA73" s="398">
        <f t="shared" si="43"/>
        <v>0.16501650165016502</v>
      </c>
      <c r="BB73" s="398">
        <f t="shared" si="44"/>
        <v>6.4550261904761902E-2</v>
      </c>
      <c r="BC73" s="15"/>
      <c r="BD73" s="14">
        <f t="shared" si="45"/>
        <v>0.25</v>
      </c>
      <c r="BE73" s="677" t="s">
        <v>100</v>
      </c>
      <c r="BF73" s="679">
        <v>1</v>
      </c>
      <c r="BG73" s="680" t="s">
        <v>571</v>
      </c>
      <c r="BH73" s="658"/>
      <c r="BI73" s="658" t="str">
        <f t="shared" ref="BI73:BI136" si="63">+IF(AND(BF73&gt;=0%,BF73&lt;=60%),"BAJO",IF(AND(BF73&gt;=61%,BF73&lt;=80%),"MEDIO","ALTO"))</f>
        <v>ALTO</v>
      </c>
      <c r="BJ73" s="681">
        <f t="shared" si="46"/>
        <v>0.25</v>
      </c>
      <c r="BK73" s="647" t="s">
        <v>572</v>
      </c>
      <c r="BL73" s="682">
        <f t="shared" ref="BL73:BL136" si="64">BJ73/AB73</f>
        <v>3.4965034965034961E-2</v>
      </c>
      <c r="BM73" s="682">
        <f t="shared" ref="BM73:BM136" si="65">BJ73/AC73</f>
        <v>0.2525</v>
      </c>
      <c r="BN73" s="682">
        <f t="shared" ref="BN73:BN136" si="66">BJ73/AD73</f>
        <v>0.64549182973327179</v>
      </c>
      <c r="BO73" s="658"/>
      <c r="BP73" s="853">
        <f t="shared" si="59"/>
        <v>0.25</v>
      </c>
      <c r="BQ73" s="854" t="s">
        <v>105</v>
      </c>
      <c r="BR73" s="873">
        <f>100/100</f>
        <v>1</v>
      </c>
      <c r="BS73" s="874" t="s">
        <v>573</v>
      </c>
      <c r="BT73" s="872" t="s">
        <v>552</v>
      </c>
      <c r="BU73" s="905" t="str">
        <f t="shared" si="47"/>
        <v>ALTO</v>
      </c>
      <c r="BV73" s="875">
        <f t="shared" si="60"/>
        <v>0.25</v>
      </c>
      <c r="BW73" s="874" t="s">
        <v>574</v>
      </c>
      <c r="BX73" s="857">
        <f t="shared" ref="BX73:BX136" si="67">BV73*AB73</f>
        <v>1.7875000000000001</v>
      </c>
      <c r="BY73" s="857">
        <f t="shared" ref="BY73:BY136" si="68">BV73*AC73</f>
        <v>0.24752475247524752</v>
      </c>
      <c r="BZ73" s="857">
        <f t="shared" ref="BZ73:BZ136" si="69">BV73*AD73</f>
        <v>9.6825392857142853E-2</v>
      </c>
      <c r="CA73" s="857">
        <f t="shared" ref="CA73:CA136" si="70">BV73*AE73</f>
        <v>9.4318181818181815E-2</v>
      </c>
      <c r="CB73" s="16">
        <f t="shared" ref="CB73:CB136" si="71">SUM(BD73+BP73)</f>
        <v>0.5</v>
      </c>
      <c r="CC73" s="16">
        <f t="shared" ref="CC73:CC136" si="72">AF73+AR73</f>
        <v>0.5</v>
      </c>
      <c r="CD73" s="16">
        <f t="shared" si="61"/>
        <v>1</v>
      </c>
      <c r="CE73" s="16">
        <f t="shared" si="62"/>
        <v>0.66666666666666663</v>
      </c>
      <c r="CF73" s="16" t="e">
        <f>SUM(#REF!/(CC73+CB73))</f>
        <v>#REF!</v>
      </c>
      <c r="CG73" s="17"/>
      <c r="CH73" s="17"/>
      <c r="CI73" s="17"/>
      <c r="CJ73" s="17"/>
      <c r="CK73" s="1"/>
      <c r="CL73" s="1"/>
      <c r="CM73" s="1"/>
      <c r="CN73" s="1"/>
      <c r="CO73" s="1"/>
      <c r="CP73" s="1"/>
      <c r="CQ73" s="1"/>
      <c r="CR73" s="1"/>
      <c r="CS73" s="1"/>
      <c r="CT73" s="1"/>
      <c r="CU73" s="1"/>
      <c r="CV73" s="346">
        <f t="shared" si="56"/>
        <v>1</v>
      </c>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c r="GF73" s="1"/>
      <c r="GG73" s="1"/>
      <c r="GH73" s="1"/>
      <c r="GI73" s="1"/>
      <c r="GJ73" s="1"/>
      <c r="GK73" s="1"/>
      <c r="GL73" s="1"/>
      <c r="GM73" s="1"/>
      <c r="GN73" s="1"/>
      <c r="GO73" s="1"/>
      <c r="GP73" s="1"/>
      <c r="GQ73" s="1"/>
      <c r="GR73" s="1"/>
      <c r="GS73" s="1"/>
      <c r="GT73" s="1"/>
      <c r="GU73" s="1"/>
      <c r="GV73" s="1"/>
      <c r="GW73" s="1"/>
      <c r="GX73" s="1"/>
      <c r="GY73" s="1"/>
      <c r="GZ73" s="1"/>
      <c r="HA73" s="1"/>
      <c r="HB73" s="1"/>
      <c r="HC73" s="1"/>
      <c r="HD73" s="1"/>
      <c r="HE73" s="1"/>
      <c r="HF73" s="1"/>
      <c r="HG73" s="1"/>
      <c r="HH73" s="1"/>
      <c r="HI73" s="1"/>
      <c r="HJ73" s="1"/>
      <c r="HK73" s="1"/>
      <c r="HL73" s="1"/>
      <c r="HM73" s="1"/>
      <c r="HN73" s="1"/>
      <c r="HO73" s="1"/>
      <c r="HP73" s="1"/>
      <c r="HQ73" s="1"/>
      <c r="HR73" s="1"/>
      <c r="HS73" s="1"/>
      <c r="HT73" s="1"/>
      <c r="HU73" s="1"/>
      <c r="HV73" s="1"/>
      <c r="HW73" s="1"/>
      <c r="HX73" s="1"/>
      <c r="HY73" s="1"/>
      <c r="HZ73" s="1"/>
      <c r="IA73" s="1"/>
      <c r="IB73" s="1"/>
      <c r="IC73" s="1"/>
      <c r="ID73" s="1"/>
      <c r="IE73" s="1"/>
      <c r="IF73" s="1"/>
      <c r="IG73" s="1"/>
      <c r="IH73" s="1"/>
      <c r="II73" s="1"/>
      <c r="IJ73" s="1"/>
      <c r="IK73" s="1"/>
      <c r="IL73" s="1"/>
      <c r="IM73" s="1"/>
      <c r="IN73" s="1"/>
      <c r="IO73" s="1"/>
      <c r="IP73" s="1"/>
      <c r="IQ73" s="1"/>
      <c r="IR73" s="1"/>
      <c r="IS73" s="1"/>
      <c r="IT73" s="1"/>
      <c r="IU73" s="1"/>
      <c r="IV73" s="1"/>
      <c r="IW73" s="1"/>
      <c r="IX73" s="1"/>
      <c r="IY73" s="1"/>
      <c r="IZ73" s="1"/>
      <c r="JA73" s="1"/>
      <c r="JB73" s="1"/>
      <c r="JC73" s="1"/>
      <c r="JD73" s="1"/>
      <c r="JE73" s="1"/>
      <c r="JF73" s="1"/>
      <c r="JG73" s="1"/>
      <c r="JH73" s="1"/>
      <c r="JI73" s="1"/>
      <c r="JJ73" s="1"/>
      <c r="JK73" s="1"/>
      <c r="JL73" s="1"/>
      <c r="JM73" s="1"/>
      <c r="JN73" s="1"/>
      <c r="JO73" s="1"/>
      <c r="JP73" s="1"/>
      <c r="JQ73" s="1"/>
      <c r="JR73" s="1"/>
      <c r="JS73" s="1"/>
      <c r="JT73" s="1"/>
      <c r="JU73" s="1"/>
      <c r="JV73" s="1"/>
      <c r="JW73" s="1"/>
      <c r="JX73" s="1"/>
      <c r="JY73" s="1"/>
      <c r="JZ73" s="1"/>
      <c r="KA73" s="1"/>
      <c r="KB73" s="1"/>
      <c r="KC73" s="1"/>
      <c r="KD73" s="1"/>
      <c r="KE73" s="1"/>
      <c r="KF73" s="1"/>
      <c r="KG73" s="1"/>
      <c r="KH73" s="1"/>
      <c r="KI73" s="1"/>
      <c r="KJ73" s="1"/>
      <c r="KK73" s="1"/>
      <c r="KL73" s="1"/>
      <c r="KM73" s="1"/>
      <c r="KN73" s="1"/>
      <c r="KO73" s="1"/>
      <c r="KP73" s="1"/>
      <c r="KQ73" s="1"/>
    </row>
    <row r="74" spans="1:303" s="4" customFormat="1" ht="327.75" x14ac:dyDescent="0.25">
      <c r="A74" s="350" t="s">
        <v>79</v>
      </c>
      <c r="B74" s="350" t="s">
        <v>80</v>
      </c>
      <c r="C74" s="350" t="s">
        <v>81</v>
      </c>
      <c r="D74" s="350" t="s">
        <v>82</v>
      </c>
      <c r="E74" s="350" t="s">
        <v>83</v>
      </c>
      <c r="F74" s="350" t="s">
        <v>84</v>
      </c>
      <c r="G74" s="350" t="s">
        <v>85</v>
      </c>
      <c r="H74" s="350" t="s">
        <v>86</v>
      </c>
      <c r="I74" s="350" t="s">
        <v>87</v>
      </c>
      <c r="J74" s="350" t="s">
        <v>152</v>
      </c>
      <c r="K74" s="352" t="s">
        <v>538</v>
      </c>
      <c r="L74" s="352" t="s">
        <v>539</v>
      </c>
      <c r="M74" s="456" t="s">
        <v>575</v>
      </c>
      <c r="N74" s="361" t="s">
        <v>541</v>
      </c>
      <c r="O74" s="361" t="s">
        <v>542</v>
      </c>
      <c r="P74" s="922">
        <v>39542136.277533107</v>
      </c>
      <c r="Q74" s="482" t="s">
        <v>543</v>
      </c>
      <c r="R74" s="476" t="s">
        <v>213</v>
      </c>
      <c r="S74" s="481">
        <v>2</v>
      </c>
      <c r="T74" s="476" t="s">
        <v>576</v>
      </c>
      <c r="U74" s="476" t="s">
        <v>577</v>
      </c>
      <c r="V74" s="481" t="s">
        <v>119</v>
      </c>
      <c r="W74" s="500" t="s">
        <v>578</v>
      </c>
      <c r="X74" s="436"/>
      <c r="Y74" s="437">
        <v>0.5</v>
      </c>
      <c r="Z74" s="448">
        <v>0.5</v>
      </c>
      <c r="AA74" s="515"/>
      <c r="AB74" s="525">
        <v>7.15</v>
      </c>
      <c r="AC74" s="413">
        <v>0.99009900990099009</v>
      </c>
      <c r="AD74" s="413">
        <v>0.38730157142857141</v>
      </c>
      <c r="AE74" s="413">
        <v>0.37727272727272726</v>
      </c>
      <c r="AF74" s="692">
        <f t="shared" si="57"/>
        <v>0</v>
      </c>
      <c r="AG74" s="693" t="s">
        <v>146</v>
      </c>
      <c r="AH74" s="698">
        <v>0</v>
      </c>
      <c r="AI74" s="693"/>
      <c r="AJ74" s="693"/>
      <c r="AK74" s="693"/>
      <c r="AL74" s="692">
        <f t="shared" si="37"/>
        <v>0</v>
      </c>
      <c r="AM74" s="697" t="s">
        <v>121</v>
      </c>
      <c r="AN74" s="693">
        <f t="shared" si="38"/>
        <v>0</v>
      </c>
      <c r="AO74" s="693">
        <f t="shared" si="39"/>
        <v>0</v>
      </c>
      <c r="AP74" s="693">
        <f t="shared" si="40"/>
        <v>0</v>
      </c>
      <c r="AQ74" s="693"/>
      <c r="AR74" s="401">
        <f t="shared" si="58"/>
        <v>0.5</v>
      </c>
      <c r="AS74" s="402" t="s">
        <v>100</v>
      </c>
      <c r="AT74" s="643">
        <f>4/4</f>
        <v>1</v>
      </c>
      <c r="AU74" s="406" t="s">
        <v>579</v>
      </c>
      <c r="AV74" s="400"/>
      <c r="AW74" s="729" t="str">
        <f t="shared" si="51"/>
        <v>ALTO</v>
      </c>
      <c r="AX74" s="397">
        <f t="shared" si="41"/>
        <v>0.5</v>
      </c>
      <c r="AY74" s="400" t="s">
        <v>246</v>
      </c>
      <c r="AZ74" s="398">
        <f t="shared" si="42"/>
        <v>3.5750000000000002</v>
      </c>
      <c r="BA74" s="398">
        <f t="shared" si="43"/>
        <v>0.49504950495049505</v>
      </c>
      <c r="BB74" s="398">
        <f t="shared" si="44"/>
        <v>0.19365078571428571</v>
      </c>
      <c r="BC74" s="15"/>
      <c r="BD74" s="14">
        <f t="shared" si="45"/>
        <v>0.5</v>
      </c>
      <c r="BE74" s="677" t="s">
        <v>100</v>
      </c>
      <c r="BF74" s="679">
        <v>1</v>
      </c>
      <c r="BG74" s="680" t="s">
        <v>580</v>
      </c>
      <c r="BH74" s="658"/>
      <c r="BI74" s="658" t="str">
        <f t="shared" si="63"/>
        <v>ALTO</v>
      </c>
      <c r="BJ74" s="681">
        <f t="shared" si="46"/>
        <v>0.5</v>
      </c>
      <c r="BK74" s="647" t="s">
        <v>581</v>
      </c>
      <c r="BL74" s="682">
        <f t="shared" si="64"/>
        <v>6.9930069930069921E-2</v>
      </c>
      <c r="BM74" s="682">
        <f t="shared" si="65"/>
        <v>0.505</v>
      </c>
      <c r="BN74" s="682">
        <f t="shared" si="66"/>
        <v>1.2909836594665436</v>
      </c>
      <c r="BO74" s="658"/>
      <c r="BP74" s="853">
        <f t="shared" si="59"/>
        <v>0</v>
      </c>
      <c r="BQ74" s="854" t="s">
        <v>105</v>
      </c>
      <c r="BR74" s="873">
        <v>1</v>
      </c>
      <c r="BS74" s="874" t="s">
        <v>582</v>
      </c>
      <c r="BT74" s="872" t="s">
        <v>552</v>
      </c>
      <c r="BU74" s="905" t="str">
        <f t="shared" si="47"/>
        <v>ALTO</v>
      </c>
      <c r="BV74" s="875">
        <f t="shared" si="60"/>
        <v>0</v>
      </c>
      <c r="BW74" s="874" t="s">
        <v>583</v>
      </c>
      <c r="BX74" s="857">
        <f t="shared" si="67"/>
        <v>0</v>
      </c>
      <c r="BY74" s="857">
        <f t="shared" si="68"/>
        <v>0</v>
      </c>
      <c r="BZ74" s="857">
        <f t="shared" si="69"/>
        <v>0</v>
      </c>
      <c r="CA74" s="857">
        <f t="shared" si="70"/>
        <v>0</v>
      </c>
      <c r="CB74" s="16">
        <f t="shared" si="71"/>
        <v>0.5</v>
      </c>
      <c r="CC74" s="16">
        <f t="shared" si="72"/>
        <v>0.5</v>
      </c>
      <c r="CD74" s="16">
        <f t="shared" si="61"/>
        <v>1</v>
      </c>
      <c r="CE74" s="16">
        <f t="shared" si="62"/>
        <v>1</v>
      </c>
      <c r="CF74" s="16" t="e">
        <f>SUM(#REF!/(CC74+CB74))</f>
        <v>#REF!</v>
      </c>
      <c r="CG74" s="17"/>
      <c r="CH74" s="17"/>
      <c r="CI74" s="17"/>
      <c r="CJ74" s="17"/>
      <c r="CK74" s="1"/>
      <c r="CL74" s="1"/>
      <c r="CM74" s="1"/>
      <c r="CN74" s="1"/>
      <c r="CO74" s="1"/>
      <c r="CP74" s="1"/>
      <c r="CQ74" s="1"/>
      <c r="CR74" s="1"/>
      <c r="CS74" s="1"/>
      <c r="CT74" s="1"/>
      <c r="CU74" s="1"/>
      <c r="CV74" s="346">
        <f t="shared" si="56"/>
        <v>1</v>
      </c>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c r="GF74" s="1"/>
      <c r="GG74" s="1"/>
      <c r="GH74" s="1"/>
      <c r="GI74" s="1"/>
      <c r="GJ74" s="1"/>
      <c r="GK74" s="1"/>
      <c r="GL74" s="1"/>
      <c r="GM74" s="1"/>
      <c r="GN74" s="1"/>
      <c r="GO74" s="1"/>
      <c r="GP74" s="1"/>
      <c r="GQ74" s="1"/>
      <c r="GR74" s="1"/>
      <c r="GS74" s="1"/>
      <c r="GT74" s="1"/>
      <c r="GU74" s="1"/>
      <c r="GV74" s="1"/>
      <c r="GW74" s="1"/>
      <c r="GX74" s="1"/>
      <c r="GY74" s="1"/>
      <c r="GZ74" s="1"/>
      <c r="HA74" s="1"/>
      <c r="HB74" s="1"/>
      <c r="HC74" s="1"/>
      <c r="HD74" s="1"/>
      <c r="HE74" s="1"/>
      <c r="HF74" s="1"/>
      <c r="HG74" s="1"/>
      <c r="HH74" s="1"/>
      <c r="HI74" s="1"/>
      <c r="HJ74" s="1"/>
      <c r="HK74" s="1"/>
      <c r="HL74" s="1"/>
      <c r="HM74" s="1"/>
      <c r="HN74" s="1"/>
      <c r="HO74" s="1"/>
      <c r="HP74" s="1"/>
      <c r="HQ74" s="1"/>
      <c r="HR74" s="1"/>
      <c r="HS74" s="1"/>
      <c r="HT74" s="1"/>
      <c r="HU74" s="1"/>
      <c r="HV74" s="1"/>
      <c r="HW74" s="1"/>
      <c r="HX74" s="1"/>
      <c r="HY74" s="1"/>
      <c r="HZ74" s="1"/>
      <c r="IA74" s="1"/>
      <c r="IB74" s="1"/>
      <c r="IC74" s="1"/>
      <c r="ID74" s="1"/>
      <c r="IE74" s="1"/>
      <c r="IF74" s="1"/>
      <c r="IG74" s="1"/>
      <c r="IH74" s="1"/>
      <c r="II74" s="1"/>
      <c r="IJ74" s="1"/>
      <c r="IK74" s="1"/>
      <c r="IL74" s="1"/>
      <c r="IM74" s="1"/>
      <c r="IN74" s="1"/>
      <c r="IO74" s="1"/>
      <c r="IP74" s="1"/>
      <c r="IQ74" s="1"/>
      <c r="IR74" s="1"/>
      <c r="IS74" s="1"/>
      <c r="IT74" s="1"/>
      <c r="IU74" s="1"/>
      <c r="IV74" s="1"/>
      <c r="IW74" s="1"/>
      <c r="IX74" s="1"/>
      <c r="IY74" s="1"/>
      <c r="IZ74" s="1"/>
      <c r="JA74" s="1"/>
      <c r="JB74" s="1"/>
      <c r="JC74" s="1"/>
      <c r="JD74" s="1"/>
      <c r="JE74" s="1"/>
      <c r="JF74" s="1"/>
      <c r="JG74" s="1"/>
      <c r="JH74" s="1"/>
      <c r="JI74" s="1"/>
      <c r="JJ74" s="1"/>
      <c r="JK74" s="1"/>
      <c r="JL74" s="1"/>
      <c r="JM74" s="1"/>
      <c r="JN74" s="1"/>
      <c r="JO74" s="1"/>
      <c r="JP74" s="1"/>
      <c r="JQ74" s="1"/>
      <c r="JR74" s="1"/>
      <c r="JS74" s="1"/>
      <c r="JT74" s="1"/>
      <c r="JU74" s="1"/>
      <c r="JV74" s="1"/>
      <c r="JW74" s="1"/>
      <c r="JX74" s="1"/>
      <c r="JY74" s="1"/>
      <c r="JZ74" s="1"/>
      <c r="KA74" s="1"/>
      <c r="KB74" s="1"/>
      <c r="KC74" s="1"/>
      <c r="KD74" s="1"/>
      <c r="KE74" s="1"/>
      <c r="KF74" s="1"/>
      <c r="KG74" s="1"/>
      <c r="KH74" s="1"/>
      <c r="KI74" s="1"/>
      <c r="KJ74" s="1"/>
      <c r="KK74" s="1"/>
      <c r="KL74" s="1"/>
      <c r="KM74" s="1"/>
      <c r="KN74" s="1"/>
      <c r="KO74" s="1"/>
      <c r="KP74" s="1"/>
      <c r="KQ74" s="1"/>
    </row>
    <row r="75" spans="1:303" s="4" customFormat="1" ht="171" x14ac:dyDescent="0.25">
      <c r="A75" s="350" t="s">
        <v>79</v>
      </c>
      <c r="B75" s="350" t="s">
        <v>80</v>
      </c>
      <c r="C75" s="350" t="s">
        <v>81</v>
      </c>
      <c r="D75" s="350" t="s">
        <v>82</v>
      </c>
      <c r="E75" s="350" t="s">
        <v>83</v>
      </c>
      <c r="F75" s="350" t="s">
        <v>84</v>
      </c>
      <c r="G75" s="350" t="s">
        <v>85</v>
      </c>
      <c r="H75" s="350" t="s">
        <v>86</v>
      </c>
      <c r="I75" s="350" t="s">
        <v>87</v>
      </c>
      <c r="J75" s="350" t="s">
        <v>152</v>
      </c>
      <c r="K75" s="352" t="s">
        <v>538</v>
      </c>
      <c r="L75" s="352" t="s">
        <v>539</v>
      </c>
      <c r="M75" s="456" t="s">
        <v>584</v>
      </c>
      <c r="N75" s="361" t="s">
        <v>541</v>
      </c>
      <c r="O75" s="361" t="s">
        <v>542</v>
      </c>
      <c r="P75" s="922">
        <v>39542136.277533107</v>
      </c>
      <c r="Q75" s="482" t="s">
        <v>543</v>
      </c>
      <c r="R75" s="476" t="s">
        <v>213</v>
      </c>
      <c r="S75" s="364">
        <v>3</v>
      </c>
      <c r="T75" s="365" t="s">
        <v>585</v>
      </c>
      <c r="U75" s="364" t="s">
        <v>262</v>
      </c>
      <c r="V75" s="364" t="s">
        <v>119</v>
      </c>
      <c r="W75" s="366" t="s">
        <v>586</v>
      </c>
      <c r="X75" s="436"/>
      <c r="Y75" s="436">
        <v>0.33</v>
      </c>
      <c r="Z75" s="436">
        <v>0.33</v>
      </c>
      <c r="AA75" s="515">
        <v>0.34</v>
      </c>
      <c r="AB75" s="525">
        <v>7.14</v>
      </c>
      <c r="AC75" s="413">
        <v>0.99009900990099009</v>
      </c>
      <c r="AD75" s="413">
        <v>0.38730157142857141</v>
      </c>
      <c r="AE75" s="413">
        <v>0.37727272727272726</v>
      </c>
      <c r="AF75" s="692">
        <f t="shared" si="57"/>
        <v>0</v>
      </c>
      <c r="AG75" s="693" t="s">
        <v>146</v>
      </c>
      <c r="AH75" s="698">
        <v>0</v>
      </c>
      <c r="AI75" s="693"/>
      <c r="AJ75" s="693"/>
      <c r="AK75" s="693"/>
      <c r="AL75" s="692">
        <f t="shared" si="37"/>
        <v>0</v>
      </c>
      <c r="AM75" s="697" t="s">
        <v>121</v>
      </c>
      <c r="AN75" s="693">
        <f t="shared" si="38"/>
        <v>0</v>
      </c>
      <c r="AO75" s="693">
        <f t="shared" si="39"/>
        <v>0</v>
      </c>
      <c r="AP75" s="693">
        <f t="shared" si="40"/>
        <v>0</v>
      </c>
      <c r="AQ75" s="693"/>
      <c r="AR75" s="401">
        <f t="shared" si="58"/>
        <v>0.33</v>
      </c>
      <c r="AS75" s="402" t="s">
        <v>100</v>
      </c>
      <c r="AT75" s="643">
        <f>1/1</f>
        <v>1</v>
      </c>
      <c r="AU75" s="631" t="s">
        <v>587</v>
      </c>
      <c r="AV75" s="400"/>
      <c r="AW75" s="729" t="str">
        <f t="shared" si="51"/>
        <v>ALTO</v>
      </c>
      <c r="AX75" s="397">
        <f t="shared" si="41"/>
        <v>0.33</v>
      </c>
      <c r="AY75" s="400" t="s">
        <v>246</v>
      </c>
      <c r="AZ75" s="398">
        <f t="shared" si="42"/>
        <v>2.3561999999999999</v>
      </c>
      <c r="BA75" s="398">
        <f t="shared" si="43"/>
        <v>0.32673267326732675</v>
      </c>
      <c r="BB75" s="398">
        <f t="shared" si="44"/>
        <v>0.12780951857142858</v>
      </c>
      <c r="BC75" s="15"/>
      <c r="BD75" s="14">
        <f t="shared" si="45"/>
        <v>0.33</v>
      </c>
      <c r="BE75" s="677" t="s">
        <v>100</v>
      </c>
      <c r="BF75" s="679">
        <v>1</v>
      </c>
      <c r="BG75" s="680" t="s">
        <v>588</v>
      </c>
      <c r="BH75" s="658"/>
      <c r="BI75" s="658" t="str">
        <f t="shared" si="63"/>
        <v>ALTO</v>
      </c>
      <c r="BJ75" s="681">
        <f t="shared" si="46"/>
        <v>0.33</v>
      </c>
      <c r="BK75" s="647" t="s">
        <v>589</v>
      </c>
      <c r="BL75" s="682">
        <f t="shared" si="64"/>
        <v>4.6218487394957986E-2</v>
      </c>
      <c r="BM75" s="682">
        <f t="shared" si="65"/>
        <v>0.33330000000000004</v>
      </c>
      <c r="BN75" s="682">
        <f t="shared" si="66"/>
        <v>0.85204921524791877</v>
      </c>
      <c r="BO75" s="658"/>
      <c r="BP75" s="853">
        <f t="shared" si="59"/>
        <v>0.34</v>
      </c>
      <c r="BQ75" s="854" t="s">
        <v>105</v>
      </c>
      <c r="BR75" s="873">
        <f>100/100</f>
        <v>1</v>
      </c>
      <c r="BS75" s="874" t="s">
        <v>590</v>
      </c>
      <c r="BT75" s="872" t="s">
        <v>552</v>
      </c>
      <c r="BU75" s="905" t="str">
        <f t="shared" si="47"/>
        <v>ALTO</v>
      </c>
      <c r="BV75" s="875">
        <f t="shared" si="60"/>
        <v>0.34</v>
      </c>
      <c r="BW75" s="862" t="s">
        <v>517</v>
      </c>
      <c r="BX75" s="857">
        <f t="shared" si="67"/>
        <v>2.4276</v>
      </c>
      <c r="BY75" s="857">
        <f t="shared" si="68"/>
        <v>0.33663366336633666</v>
      </c>
      <c r="BZ75" s="857">
        <f t="shared" si="69"/>
        <v>0.1316825342857143</v>
      </c>
      <c r="CA75" s="857">
        <f t="shared" si="70"/>
        <v>0.12827272727272729</v>
      </c>
      <c r="CB75" s="16">
        <f t="shared" si="71"/>
        <v>0.67</v>
      </c>
      <c r="CC75" s="16">
        <f t="shared" si="72"/>
        <v>0.33</v>
      </c>
      <c r="CD75" s="16">
        <f t="shared" si="61"/>
        <v>1</v>
      </c>
      <c r="CE75" s="16">
        <f t="shared" si="62"/>
        <v>1</v>
      </c>
      <c r="CF75" s="16" t="e">
        <f>SUM(#REF!/(CC75+CB75))</f>
        <v>#REF!</v>
      </c>
      <c r="CG75" s="17"/>
      <c r="CH75" s="17"/>
      <c r="CI75" s="17"/>
      <c r="CJ75" s="17"/>
      <c r="CK75" s="1"/>
      <c r="CL75" s="1"/>
      <c r="CM75" s="1"/>
      <c r="CN75" s="1"/>
      <c r="CO75" s="1"/>
      <c r="CP75" s="1"/>
      <c r="CQ75" s="1"/>
      <c r="CR75" s="1"/>
      <c r="CS75" s="1"/>
      <c r="CT75" s="1"/>
      <c r="CU75" s="1"/>
      <c r="CV75" s="346">
        <f t="shared" si="56"/>
        <v>1</v>
      </c>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c r="GF75" s="1"/>
      <c r="GG75" s="1"/>
      <c r="GH75" s="1"/>
      <c r="GI75" s="1"/>
      <c r="GJ75" s="1"/>
      <c r="GK75" s="1"/>
      <c r="GL75" s="1"/>
      <c r="GM75" s="1"/>
      <c r="GN75" s="1"/>
      <c r="GO75" s="1"/>
      <c r="GP75" s="1"/>
      <c r="GQ75" s="1"/>
      <c r="GR75" s="1"/>
      <c r="GS75" s="1"/>
      <c r="GT75" s="1"/>
      <c r="GU75" s="1"/>
      <c r="GV75" s="1"/>
      <c r="GW75" s="1"/>
      <c r="GX75" s="1"/>
      <c r="GY75" s="1"/>
      <c r="GZ75" s="1"/>
      <c r="HA75" s="1"/>
      <c r="HB75" s="1"/>
      <c r="HC75" s="1"/>
      <c r="HD75" s="1"/>
      <c r="HE75" s="1"/>
      <c r="HF75" s="1"/>
      <c r="HG75" s="1"/>
      <c r="HH75" s="1"/>
      <c r="HI75" s="1"/>
      <c r="HJ75" s="1"/>
      <c r="HK75" s="1"/>
      <c r="HL75" s="1"/>
      <c r="HM75" s="1"/>
      <c r="HN75" s="1"/>
      <c r="HO75" s="1"/>
      <c r="HP75" s="1"/>
      <c r="HQ75" s="1"/>
      <c r="HR75" s="1"/>
      <c r="HS75" s="1"/>
      <c r="HT75" s="1"/>
      <c r="HU75" s="1"/>
      <c r="HV75" s="1"/>
      <c r="HW75" s="1"/>
      <c r="HX75" s="1"/>
      <c r="HY75" s="1"/>
      <c r="HZ75" s="1"/>
      <c r="IA75" s="1"/>
      <c r="IB75" s="1"/>
      <c r="IC75" s="1"/>
      <c r="ID75" s="1"/>
      <c r="IE75" s="1"/>
      <c r="IF75" s="1"/>
      <c r="IG75" s="1"/>
      <c r="IH75" s="1"/>
      <c r="II75" s="1"/>
      <c r="IJ75" s="1"/>
      <c r="IK75" s="1"/>
      <c r="IL75" s="1"/>
      <c r="IM75" s="1"/>
      <c r="IN75" s="1"/>
      <c r="IO75" s="1"/>
      <c r="IP75" s="1"/>
      <c r="IQ75" s="1"/>
      <c r="IR75" s="1"/>
      <c r="IS75" s="1"/>
      <c r="IT75" s="1"/>
      <c r="IU75" s="1"/>
      <c r="IV75" s="1"/>
      <c r="IW75" s="1"/>
      <c r="IX75" s="1"/>
      <c r="IY75" s="1"/>
      <c r="IZ75" s="1"/>
      <c r="JA75" s="1"/>
      <c r="JB75" s="1"/>
      <c r="JC75" s="1"/>
      <c r="JD75" s="1"/>
      <c r="JE75" s="1"/>
      <c r="JF75" s="1"/>
      <c r="JG75" s="1"/>
      <c r="JH75" s="1"/>
      <c r="JI75" s="1"/>
      <c r="JJ75" s="1"/>
      <c r="JK75" s="1"/>
      <c r="JL75" s="1"/>
      <c r="JM75" s="1"/>
      <c r="JN75" s="1"/>
      <c r="JO75" s="1"/>
      <c r="JP75" s="1"/>
      <c r="JQ75" s="1"/>
      <c r="JR75" s="1"/>
      <c r="JS75" s="1"/>
      <c r="JT75" s="1"/>
      <c r="JU75" s="1"/>
      <c r="JV75" s="1"/>
      <c r="JW75" s="1"/>
      <c r="JX75" s="1"/>
      <c r="JY75" s="1"/>
      <c r="JZ75" s="1"/>
      <c r="KA75" s="1"/>
      <c r="KB75" s="1"/>
      <c r="KC75" s="1"/>
      <c r="KD75" s="1"/>
      <c r="KE75" s="1"/>
      <c r="KF75" s="1"/>
      <c r="KG75" s="1"/>
      <c r="KH75" s="1"/>
      <c r="KI75" s="1"/>
      <c r="KJ75" s="1"/>
      <c r="KK75" s="1"/>
      <c r="KL75" s="1"/>
      <c r="KM75" s="1"/>
      <c r="KN75" s="1"/>
      <c r="KO75" s="1"/>
      <c r="KP75" s="1"/>
      <c r="KQ75" s="1"/>
    </row>
    <row r="76" spans="1:303" s="5" customFormat="1" ht="213.75" x14ac:dyDescent="0.25">
      <c r="A76" s="350" t="s">
        <v>79</v>
      </c>
      <c r="B76" s="350" t="s">
        <v>80</v>
      </c>
      <c r="C76" s="350" t="s">
        <v>81</v>
      </c>
      <c r="D76" s="350" t="s">
        <v>82</v>
      </c>
      <c r="E76" s="350" t="s">
        <v>83</v>
      </c>
      <c r="F76" s="350" t="s">
        <v>84</v>
      </c>
      <c r="G76" s="350" t="s">
        <v>85</v>
      </c>
      <c r="H76" s="350" t="s">
        <v>86</v>
      </c>
      <c r="I76" s="350" t="s">
        <v>87</v>
      </c>
      <c r="J76" s="350" t="s">
        <v>152</v>
      </c>
      <c r="K76" s="811" t="s">
        <v>538</v>
      </c>
      <c r="L76" s="352" t="s">
        <v>539</v>
      </c>
      <c r="M76" s="456" t="s">
        <v>591</v>
      </c>
      <c r="N76" s="361" t="s">
        <v>541</v>
      </c>
      <c r="O76" s="361" t="s">
        <v>542</v>
      </c>
      <c r="P76" s="922">
        <v>39542136.277533107</v>
      </c>
      <c r="Q76" s="482" t="s">
        <v>543</v>
      </c>
      <c r="R76" s="476" t="s">
        <v>213</v>
      </c>
      <c r="S76" s="364">
        <v>18</v>
      </c>
      <c r="T76" s="365" t="s">
        <v>592</v>
      </c>
      <c r="U76" s="364" t="s">
        <v>593</v>
      </c>
      <c r="V76" s="364" t="s">
        <v>119</v>
      </c>
      <c r="W76" s="366" t="s">
        <v>594</v>
      </c>
      <c r="X76" s="436"/>
      <c r="Y76" s="436">
        <v>0.5</v>
      </c>
      <c r="Z76" s="436">
        <v>0.5</v>
      </c>
      <c r="AA76" s="515"/>
      <c r="AB76" s="525">
        <v>7.14</v>
      </c>
      <c r="AC76" s="413">
        <v>0.99009900990099009</v>
      </c>
      <c r="AD76" s="413">
        <v>0.38730157142857141</v>
      </c>
      <c r="AE76" s="413">
        <v>0.37727272727272726</v>
      </c>
      <c r="AF76" s="692">
        <f t="shared" si="57"/>
        <v>0</v>
      </c>
      <c r="AG76" s="693" t="s">
        <v>146</v>
      </c>
      <c r="AH76" s="698">
        <v>0</v>
      </c>
      <c r="AI76" s="693"/>
      <c r="AJ76" s="693"/>
      <c r="AK76" s="693"/>
      <c r="AL76" s="692">
        <f t="shared" si="37"/>
        <v>0</v>
      </c>
      <c r="AM76" s="697" t="s">
        <v>121</v>
      </c>
      <c r="AN76" s="693">
        <f t="shared" si="38"/>
        <v>0</v>
      </c>
      <c r="AO76" s="693">
        <f t="shared" si="39"/>
        <v>0</v>
      </c>
      <c r="AP76" s="693">
        <f t="shared" si="40"/>
        <v>0</v>
      </c>
      <c r="AQ76" s="693"/>
      <c r="AR76" s="401">
        <f t="shared" si="58"/>
        <v>0.5</v>
      </c>
      <c r="AS76" s="402" t="s">
        <v>100</v>
      </c>
      <c r="AT76" s="643">
        <v>0</v>
      </c>
      <c r="AU76" s="742" t="s">
        <v>595</v>
      </c>
      <c r="AV76" s="400"/>
      <c r="AW76" s="729" t="str">
        <f t="shared" si="51"/>
        <v>BAJO</v>
      </c>
      <c r="AX76" s="397">
        <f t="shared" si="41"/>
        <v>0</v>
      </c>
      <c r="AY76" s="400" t="s">
        <v>596</v>
      </c>
      <c r="AZ76" s="398">
        <f t="shared" si="42"/>
        <v>0</v>
      </c>
      <c r="BA76" s="398">
        <f t="shared" si="43"/>
        <v>0</v>
      </c>
      <c r="BB76" s="398">
        <f t="shared" si="44"/>
        <v>0</v>
      </c>
      <c r="BC76" s="15"/>
      <c r="BD76" s="14">
        <f t="shared" si="45"/>
        <v>0.5</v>
      </c>
      <c r="BE76" s="677" t="s">
        <v>100</v>
      </c>
      <c r="BF76" s="679">
        <v>1</v>
      </c>
      <c r="BG76" s="680" t="s">
        <v>597</v>
      </c>
      <c r="BH76" s="658"/>
      <c r="BI76" s="658" t="str">
        <f t="shared" si="63"/>
        <v>ALTO</v>
      </c>
      <c r="BJ76" s="681">
        <f t="shared" si="46"/>
        <v>0.5</v>
      </c>
      <c r="BK76" s="647" t="s">
        <v>598</v>
      </c>
      <c r="BL76" s="682">
        <f t="shared" si="64"/>
        <v>7.0028011204481794E-2</v>
      </c>
      <c r="BM76" s="682">
        <f t="shared" si="65"/>
        <v>0.505</v>
      </c>
      <c r="BN76" s="682">
        <f t="shared" si="66"/>
        <v>1.2909836594665436</v>
      </c>
      <c r="BO76" s="658"/>
      <c r="BP76" s="853">
        <f t="shared" si="59"/>
        <v>0</v>
      </c>
      <c r="BQ76" s="854" t="s">
        <v>105</v>
      </c>
      <c r="BR76" s="873">
        <v>0</v>
      </c>
      <c r="BS76" s="874" t="s">
        <v>599</v>
      </c>
      <c r="BT76" s="872" t="s">
        <v>552</v>
      </c>
      <c r="BU76" s="907" t="str">
        <f t="shared" si="47"/>
        <v>BAJO</v>
      </c>
      <c r="BV76" s="875">
        <f t="shared" si="60"/>
        <v>0</v>
      </c>
      <c r="BW76" s="874" t="s">
        <v>600</v>
      </c>
      <c r="BX76" s="857">
        <f t="shared" si="67"/>
        <v>0</v>
      </c>
      <c r="BY76" s="857">
        <f t="shared" si="68"/>
        <v>0</v>
      </c>
      <c r="BZ76" s="857">
        <f t="shared" si="69"/>
        <v>0</v>
      </c>
      <c r="CA76" s="857">
        <f t="shared" si="70"/>
        <v>0</v>
      </c>
      <c r="CB76" s="16">
        <f t="shared" si="71"/>
        <v>0.5</v>
      </c>
      <c r="CC76" s="16">
        <f t="shared" si="72"/>
        <v>0.5</v>
      </c>
      <c r="CD76" s="16">
        <f t="shared" si="61"/>
        <v>1</v>
      </c>
      <c r="CE76" s="16">
        <f t="shared" si="62"/>
        <v>0.5</v>
      </c>
      <c r="CF76" s="16" t="e">
        <f>SUM(#REF!/(CC76+CB76))</f>
        <v>#REF!</v>
      </c>
      <c r="CG76" s="17"/>
      <c r="CH76" s="17"/>
      <c r="CI76" s="17"/>
      <c r="CJ76" s="17"/>
      <c r="CK76" s="1"/>
      <c r="CL76" s="1"/>
      <c r="CM76" s="1"/>
      <c r="CN76" s="1"/>
      <c r="CO76" s="1"/>
      <c r="CP76" s="1"/>
      <c r="CQ76" s="1"/>
      <c r="CR76" s="1"/>
      <c r="CS76" s="1"/>
      <c r="CT76" s="1"/>
      <c r="CU76" s="1"/>
      <c r="CV76" s="346">
        <f t="shared" si="56"/>
        <v>1</v>
      </c>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c r="GF76" s="1"/>
      <c r="GG76" s="1"/>
      <c r="GH76" s="1"/>
      <c r="GI76" s="1"/>
      <c r="GJ76" s="1"/>
      <c r="GK76" s="1"/>
      <c r="GL76" s="1"/>
      <c r="GM76" s="1"/>
      <c r="GN76" s="1"/>
      <c r="GO76" s="1"/>
      <c r="GP76" s="1"/>
      <c r="GQ76" s="1"/>
      <c r="GR76" s="1"/>
      <c r="GS76" s="1"/>
      <c r="GT76" s="1"/>
      <c r="GU76" s="1"/>
      <c r="GV76" s="1"/>
      <c r="GW76" s="1"/>
      <c r="GX76" s="1"/>
      <c r="GY76" s="1"/>
      <c r="GZ76" s="1"/>
      <c r="HA76" s="1"/>
      <c r="HB76" s="1"/>
      <c r="HC76" s="1"/>
      <c r="HD76" s="1"/>
      <c r="HE76" s="1"/>
      <c r="HF76" s="1"/>
      <c r="HG76" s="1"/>
      <c r="HH76" s="1"/>
      <c r="HI76" s="1"/>
      <c r="HJ76" s="1"/>
      <c r="HK76" s="1"/>
      <c r="HL76" s="1"/>
      <c r="HM76" s="1"/>
      <c r="HN76" s="1"/>
      <c r="HO76" s="1"/>
      <c r="HP76" s="1"/>
      <c r="HQ76" s="1"/>
      <c r="HR76" s="1"/>
      <c r="HS76" s="1"/>
      <c r="HT76" s="1"/>
      <c r="HU76" s="1"/>
      <c r="HV76" s="1"/>
      <c r="HW76" s="1"/>
      <c r="HX76" s="1"/>
      <c r="HY76" s="1"/>
      <c r="HZ76" s="1"/>
      <c r="IA76" s="1"/>
      <c r="IB76" s="1"/>
      <c r="IC76" s="1"/>
      <c r="ID76" s="1"/>
      <c r="IE76" s="1"/>
      <c r="IF76" s="1"/>
      <c r="IG76" s="1"/>
      <c r="IH76" s="1"/>
      <c r="II76" s="1"/>
      <c r="IJ76" s="1"/>
      <c r="IK76" s="1"/>
      <c r="IL76" s="1"/>
      <c r="IM76" s="1"/>
      <c r="IN76" s="1"/>
      <c r="IO76" s="1"/>
      <c r="IP76" s="1"/>
      <c r="IQ76" s="1"/>
      <c r="IR76" s="1"/>
      <c r="IS76" s="1"/>
      <c r="IT76" s="1"/>
      <c r="IU76" s="1"/>
      <c r="IV76" s="1"/>
      <c r="IW76" s="1"/>
      <c r="IX76" s="1"/>
      <c r="IY76" s="1"/>
      <c r="IZ76" s="1"/>
      <c r="JA76" s="1"/>
      <c r="JB76" s="1"/>
      <c r="JC76" s="1"/>
      <c r="JD76" s="1"/>
      <c r="JE76" s="1"/>
      <c r="JF76" s="1"/>
      <c r="JG76" s="1"/>
      <c r="JH76" s="1"/>
      <c r="JI76" s="1"/>
      <c r="JJ76" s="1"/>
      <c r="JK76" s="1"/>
      <c r="JL76" s="1"/>
      <c r="JM76" s="1"/>
      <c r="JN76" s="1"/>
      <c r="JO76" s="1"/>
      <c r="JP76" s="1"/>
      <c r="JQ76" s="1"/>
      <c r="JR76" s="1"/>
      <c r="JS76" s="1"/>
      <c r="JT76" s="1"/>
      <c r="JU76" s="1"/>
      <c r="JV76" s="1"/>
      <c r="JW76" s="1"/>
      <c r="JX76" s="1"/>
      <c r="JY76" s="1"/>
      <c r="JZ76" s="1"/>
      <c r="KA76" s="1"/>
      <c r="KB76" s="1"/>
      <c r="KC76" s="1"/>
      <c r="KD76" s="1"/>
      <c r="KE76" s="1"/>
      <c r="KF76" s="1"/>
      <c r="KG76" s="1"/>
      <c r="KH76" s="1"/>
      <c r="KI76" s="1"/>
      <c r="KJ76" s="1"/>
      <c r="KK76" s="1"/>
      <c r="KL76" s="1"/>
      <c r="KM76" s="1"/>
      <c r="KN76" s="1"/>
      <c r="KO76" s="1"/>
      <c r="KP76" s="1"/>
      <c r="KQ76" s="1"/>
    </row>
    <row r="77" spans="1:303" s="5" customFormat="1" ht="185.25" x14ac:dyDescent="0.25">
      <c r="A77" s="350" t="s">
        <v>79</v>
      </c>
      <c r="B77" s="350" t="s">
        <v>80</v>
      </c>
      <c r="C77" s="350" t="s">
        <v>81</v>
      </c>
      <c r="D77" s="350" t="s">
        <v>82</v>
      </c>
      <c r="E77" s="350" t="s">
        <v>83</v>
      </c>
      <c r="F77" s="350" t="s">
        <v>84</v>
      </c>
      <c r="G77" s="350" t="s">
        <v>85</v>
      </c>
      <c r="H77" s="350" t="s">
        <v>86</v>
      </c>
      <c r="I77" s="350" t="s">
        <v>87</v>
      </c>
      <c r="J77" s="350" t="s">
        <v>152</v>
      </c>
      <c r="K77" s="352" t="s">
        <v>538</v>
      </c>
      <c r="L77" s="352" t="s">
        <v>539</v>
      </c>
      <c r="M77" s="456" t="s">
        <v>601</v>
      </c>
      <c r="N77" s="361" t="s">
        <v>541</v>
      </c>
      <c r="O77" s="361" t="s">
        <v>542</v>
      </c>
      <c r="P77" s="922">
        <v>39542136.277533107</v>
      </c>
      <c r="Q77" s="482" t="s">
        <v>543</v>
      </c>
      <c r="R77" s="476" t="s">
        <v>213</v>
      </c>
      <c r="S77" s="364" t="s">
        <v>602</v>
      </c>
      <c r="T77" s="365" t="s">
        <v>603</v>
      </c>
      <c r="U77" s="364" t="s">
        <v>604</v>
      </c>
      <c r="V77" s="364" t="s">
        <v>119</v>
      </c>
      <c r="W77" s="366" t="s">
        <v>605</v>
      </c>
      <c r="X77" s="436">
        <v>0.19</v>
      </c>
      <c r="Y77" s="436">
        <v>0.27</v>
      </c>
      <c r="Z77" s="436">
        <v>0.27</v>
      </c>
      <c r="AA77" s="515">
        <v>0.27</v>
      </c>
      <c r="AB77" s="525">
        <v>7.14</v>
      </c>
      <c r="AC77" s="413">
        <v>0.99009900990099009</v>
      </c>
      <c r="AD77" s="413">
        <v>0.38730157142857141</v>
      </c>
      <c r="AE77" s="413">
        <v>0.37727272727272726</v>
      </c>
      <c r="AF77" s="692">
        <f t="shared" si="57"/>
        <v>0.19</v>
      </c>
      <c r="AG77" s="693" t="s">
        <v>100</v>
      </c>
      <c r="AH77" s="698">
        <f>8/8</f>
        <v>1</v>
      </c>
      <c r="AI77" s="695" t="s">
        <v>606</v>
      </c>
      <c r="AJ77" s="696"/>
      <c r="AK77" s="693" t="str">
        <f>+IF(AND(AH77&gt;=0%,AH77&lt;=60%),"BAJO",IF(AND(AH77&gt;=61%,AH77&lt;=80%),"MEDIO","ALTO"))</f>
        <v>ALTO</v>
      </c>
      <c r="AL77" s="692">
        <f t="shared" si="37"/>
        <v>0.19</v>
      </c>
      <c r="AM77" s="695" t="s">
        <v>246</v>
      </c>
      <c r="AN77" s="693">
        <f t="shared" si="38"/>
        <v>1.3566</v>
      </c>
      <c r="AO77" s="693">
        <f t="shared" si="39"/>
        <v>0.18811881188118812</v>
      </c>
      <c r="AP77" s="693">
        <f t="shared" si="40"/>
        <v>7.3587298571428567E-2</v>
      </c>
      <c r="AQ77" s="693"/>
      <c r="AR77" s="401">
        <f t="shared" si="58"/>
        <v>0.27</v>
      </c>
      <c r="AS77" s="402" t="s">
        <v>100</v>
      </c>
      <c r="AT77" s="643">
        <f>2/6</f>
        <v>0.33333333333333331</v>
      </c>
      <c r="AU77" s="631" t="s">
        <v>607</v>
      </c>
      <c r="AV77" s="400"/>
      <c r="AW77" s="729" t="str">
        <f t="shared" si="51"/>
        <v>BAJO</v>
      </c>
      <c r="AX77" s="397">
        <f t="shared" si="41"/>
        <v>0.09</v>
      </c>
      <c r="AY77" s="400" t="s">
        <v>608</v>
      </c>
      <c r="AZ77" s="398">
        <f t="shared" si="42"/>
        <v>0.64259999999999995</v>
      </c>
      <c r="BA77" s="398">
        <f t="shared" si="43"/>
        <v>8.9108910891089105E-2</v>
      </c>
      <c r="BB77" s="398">
        <f t="shared" si="44"/>
        <v>3.4857141428571423E-2</v>
      </c>
      <c r="BC77" s="15"/>
      <c r="BD77" s="14">
        <f t="shared" si="45"/>
        <v>0.27</v>
      </c>
      <c r="BE77" s="677" t="s">
        <v>100</v>
      </c>
      <c r="BF77" s="679">
        <v>1</v>
      </c>
      <c r="BG77" s="680" t="s">
        <v>609</v>
      </c>
      <c r="BH77" s="658"/>
      <c r="BI77" s="658" t="str">
        <f t="shared" si="63"/>
        <v>ALTO</v>
      </c>
      <c r="BJ77" s="681">
        <f t="shared" si="46"/>
        <v>0.27</v>
      </c>
      <c r="BK77" s="647" t="s">
        <v>610</v>
      </c>
      <c r="BL77" s="682">
        <f t="shared" si="64"/>
        <v>3.7815126050420172E-2</v>
      </c>
      <c r="BM77" s="682">
        <f t="shared" si="65"/>
        <v>0.2727</v>
      </c>
      <c r="BN77" s="682">
        <f t="shared" si="66"/>
        <v>0.69713117611193354</v>
      </c>
      <c r="BO77" s="658"/>
      <c r="BP77" s="853">
        <f t="shared" si="59"/>
        <v>0.27</v>
      </c>
      <c r="BQ77" s="854" t="s">
        <v>105</v>
      </c>
      <c r="BR77" s="873">
        <f>100/100</f>
        <v>1</v>
      </c>
      <c r="BS77" s="874" t="s">
        <v>611</v>
      </c>
      <c r="BT77" s="872" t="s">
        <v>552</v>
      </c>
      <c r="BU77" s="905" t="str">
        <f t="shared" si="47"/>
        <v>ALTO</v>
      </c>
      <c r="BV77" s="875">
        <f t="shared" si="60"/>
        <v>0.27</v>
      </c>
      <c r="BW77" s="862" t="s">
        <v>517</v>
      </c>
      <c r="BX77" s="857">
        <f t="shared" si="67"/>
        <v>1.9278</v>
      </c>
      <c r="BY77" s="857">
        <f t="shared" si="68"/>
        <v>0.26732673267326734</v>
      </c>
      <c r="BZ77" s="857">
        <f t="shared" si="69"/>
        <v>0.10457142428571428</v>
      </c>
      <c r="CA77" s="857">
        <f t="shared" si="70"/>
        <v>0.10186363636363636</v>
      </c>
      <c r="CB77" s="16">
        <f t="shared" si="71"/>
        <v>0.54</v>
      </c>
      <c r="CC77" s="16">
        <f t="shared" si="72"/>
        <v>0.46</v>
      </c>
      <c r="CD77" s="16">
        <f t="shared" si="61"/>
        <v>1</v>
      </c>
      <c r="CE77" s="16">
        <f t="shared" si="62"/>
        <v>0.82000000000000006</v>
      </c>
      <c r="CF77" s="16" t="e">
        <f>SUM(#REF!/(CC77+CB77))</f>
        <v>#REF!</v>
      </c>
      <c r="CG77" s="17"/>
      <c r="CH77" s="17"/>
      <c r="CI77" s="17"/>
      <c r="CJ77" s="17"/>
      <c r="CK77" s="1"/>
      <c r="CL77" s="1"/>
      <c r="CM77" s="1"/>
      <c r="CN77" s="1"/>
      <c r="CO77" s="1"/>
      <c r="CP77" s="1"/>
      <c r="CQ77" s="1"/>
      <c r="CR77" s="1"/>
      <c r="CS77" s="1"/>
      <c r="CT77" s="1"/>
      <c r="CU77" s="1"/>
      <c r="CV77" s="346">
        <f t="shared" si="56"/>
        <v>1</v>
      </c>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c r="GF77" s="1"/>
      <c r="GG77" s="1"/>
      <c r="GH77" s="1"/>
      <c r="GI77" s="1"/>
      <c r="GJ77" s="1"/>
      <c r="GK77" s="1"/>
      <c r="GL77" s="1"/>
      <c r="GM77" s="1"/>
      <c r="GN77" s="1"/>
      <c r="GO77" s="1"/>
      <c r="GP77" s="1"/>
      <c r="GQ77" s="1"/>
      <c r="GR77" s="1"/>
      <c r="GS77" s="1"/>
      <c r="GT77" s="1"/>
      <c r="GU77" s="1"/>
      <c r="GV77" s="1"/>
      <c r="GW77" s="1"/>
      <c r="GX77" s="1"/>
      <c r="GY77" s="1"/>
      <c r="GZ77" s="1"/>
      <c r="HA77" s="1"/>
      <c r="HB77" s="1"/>
      <c r="HC77" s="1"/>
      <c r="HD77" s="1"/>
      <c r="HE77" s="1"/>
      <c r="HF77" s="1"/>
      <c r="HG77" s="1"/>
      <c r="HH77" s="1"/>
      <c r="HI77" s="1"/>
      <c r="HJ77" s="1"/>
      <c r="HK77" s="1"/>
      <c r="HL77" s="1"/>
      <c r="HM77" s="1"/>
      <c r="HN77" s="1"/>
      <c r="HO77" s="1"/>
      <c r="HP77" s="1"/>
      <c r="HQ77" s="1"/>
      <c r="HR77" s="1"/>
      <c r="HS77" s="1"/>
      <c r="HT77" s="1"/>
      <c r="HU77" s="1"/>
      <c r="HV77" s="1"/>
      <c r="HW77" s="1"/>
      <c r="HX77" s="1"/>
      <c r="HY77" s="1"/>
      <c r="HZ77" s="1"/>
      <c r="IA77" s="1"/>
      <c r="IB77" s="1"/>
      <c r="IC77" s="1"/>
      <c r="ID77" s="1"/>
      <c r="IE77" s="1"/>
      <c r="IF77" s="1"/>
      <c r="IG77" s="1"/>
      <c r="IH77" s="1"/>
      <c r="II77" s="1"/>
      <c r="IJ77" s="1"/>
      <c r="IK77" s="1"/>
      <c r="IL77" s="1"/>
      <c r="IM77" s="1"/>
      <c r="IN77" s="1"/>
      <c r="IO77" s="1"/>
      <c r="IP77" s="1"/>
      <c r="IQ77" s="1"/>
      <c r="IR77" s="1"/>
      <c r="IS77" s="1"/>
      <c r="IT77" s="1"/>
      <c r="IU77" s="1"/>
      <c r="IV77" s="1"/>
      <c r="IW77" s="1"/>
      <c r="IX77" s="1"/>
      <c r="IY77" s="1"/>
      <c r="IZ77" s="1"/>
      <c r="JA77" s="1"/>
      <c r="JB77" s="1"/>
      <c r="JC77" s="1"/>
      <c r="JD77" s="1"/>
      <c r="JE77" s="1"/>
      <c r="JF77" s="1"/>
      <c r="JG77" s="1"/>
      <c r="JH77" s="1"/>
      <c r="JI77" s="1"/>
      <c r="JJ77" s="1"/>
      <c r="JK77" s="1"/>
      <c r="JL77" s="1"/>
      <c r="JM77" s="1"/>
      <c r="JN77" s="1"/>
      <c r="JO77" s="1"/>
      <c r="JP77" s="1"/>
      <c r="JQ77" s="1"/>
      <c r="JR77" s="1"/>
      <c r="JS77" s="1"/>
      <c r="JT77" s="1"/>
      <c r="JU77" s="1"/>
      <c r="JV77" s="1"/>
      <c r="JW77" s="1"/>
      <c r="JX77" s="1"/>
      <c r="JY77" s="1"/>
      <c r="JZ77" s="1"/>
      <c r="KA77" s="1"/>
      <c r="KB77" s="1"/>
      <c r="KC77" s="1"/>
      <c r="KD77" s="1"/>
      <c r="KE77" s="1"/>
      <c r="KF77" s="1"/>
      <c r="KG77" s="1"/>
      <c r="KH77" s="1"/>
      <c r="KI77" s="1"/>
      <c r="KJ77" s="1"/>
      <c r="KK77" s="1"/>
      <c r="KL77" s="1"/>
      <c r="KM77" s="1"/>
      <c r="KN77" s="1"/>
      <c r="KO77" s="1"/>
      <c r="KP77" s="1"/>
      <c r="KQ77" s="1"/>
    </row>
    <row r="78" spans="1:303" s="5" customFormat="1" ht="228" x14ac:dyDescent="0.25">
      <c r="A78" s="351" t="s">
        <v>79</v>
      </c>
      <c r="B78" s="351" t="s">
        <v>80</v>
      </c>
      <c r="C78" s="351" t="s">
        <v>81</v>
      </c>
      <c r="D78" s="351" t="s">
        <v>82</v>
      </c>
      <c r="E78" s="351" t="s">
        <v>83</v>
      </c>
      <c r="F78" s="351" t="s">
        <v>84</v>
      </c>
      <c r="G78" s="351" t="s">
        <v>85</v>
      </c>
      <c r="H78" s="351" t="s">
        <v>86</v>
      </c>
      <c r="I78" s="351" t="s">
        <v>87</v>
      </c>
      <c r="J78" s="351" t="s">
        <v>152</v>
      </c>
      <c r="K78" s="376" t="s">
        <v>538</v>
      </c>
      <c r="L78" s="376" t="s">
        <v>539</v>
      </c>
      <c r="M78" s="357" t="s">
        <v>153</v>
      </c>
      <c r="N78" s="367" t="s">
        <v>91</v>
      </c>
      <c r="O78" s="367" t="s">
        <v>154</v>
      </c>
      <c r="P78" s="930">
        <v>39542136.277533107</v>
      </c>
      <c r="Q78" s="368" t="s">
        <v>543</v>
      </c>
      <c r="R78" s="368" t="s">
        <v>156</v>
      </c>
      <c r="S78" s="357">
        <v>3</v>
      </c>
      <c r="T78" s="369" t="s">
        <v>157</v>
      </c>
      <c r="U78" s="357" t="s">
        <v>158</v>
      </c>
      <c r="V78" s="370" t="s">
        <v>98</v>
      </c>
      <c r="W78" s="497" t="s">
        <v>159</v>
      </c>
      <c r="X78" s="432">
        <v>0</v>
      </c>
      <c r="Y78" s="432">
        <v>0.34</v>
      </c>
      <c r="Z78" s="432">
        <v>0.33</v>
      </c>
      <c r="AA78" s="444">
        <v>0.33</v>
      </c>
      <c r="AB78" s="525">
        <v>7.14</v>
      </c>
      <c r="AC78" s="413">
        <v>0.99009900990099009</v>
      </c>
      <c r="AD78" s="413">
        <v>0.38730157142857141</v>
      </c>
      <c r="AE78" s="413">
        <v>0.37727272727272726</v>
      </c>
      <c r="AF78" s="692">
        <f t="shared" si="57"/>
        <v>0</v>
      </c>
      <c r="AG78" s="693" t="s">
        <v>146</v>
      </c>
      <c r="AH78" s="698">
        <v>0</v>
      </c>
      <c r="AI78" s="693"/>
      <c r="AJ78" s="693"/>
      <c r="AK78" s="693"/>
      <c r="AL78" s="692">
        <f t="shared" si="37"/>
        <v>0</v>
      </c>
      <c r="AM78" s="697" t="s">
        <v>121</v>
      </c>
      <c r="AN78" s="693">
        <f t="shared" si="38"/>
        <v>0</v>
      </c>
      <c r="AO78" s="693">
        <f t="shared" si="39"/>
        <v>0</v>
      </c>
      <c r="AP78" s="693">
        <f t="shared" si="40"/>
        <v>0</v>
      </c>
      <c r="AQ78" s="693"/>
      <c r="AR78" s="401">
        <f t="shared" si="58"/>
        <v>0.34</v>
      </c>
      <c r="AS78" s="402" t="s">
        <v>100</v>
      </c>
      <c r="AT78" s="643">
        <f>1/1</f>
        <v>1</v>
      </c>
      <c r="AU78" s="742" t="s">
        <v>612</v>
      </c>
      <c r="AV78" s="400"/>
      <c r="AW78" s="729" t="str">
        <f t="shared" si="51"/>
        <v>ALTO</v>
      </c>
      <c r="AX78" s="397">
        <f t="shared" si="41"/>
        <v>0.34</v>
      </c>
      <c r="AY78" s="400" t="s">
        <v>246</v>
      </c>
      <c r="AZ78" s="398">
        <f t="shared" si="42"/>
        <v>2.4276</v>
      </c>
      <c r="BA78" s="398">
        <f t="shared" si="43"/>
        <v>0.33663366336633666</v>
      </c>
      <c r="BB78" s="398">
        <f t="shared" si="44"/>
        <v>0.1316825342857143</v>
      </c>
      <c r="BC78" s="15"/>
      <c r="BD78" s="14">
        <f t="shared" si="45"/>
        <v>0.33</v>
      </c>
      <c r="BE78" s="677" t="s">
        <v>100</v>
      </c>
      <c r="BF78" s="679">
        <v>1</v>
      </c>
      <c r="BG78" s="757" t="s">
        <v>613</v>
      </c>
      <c r="BH78" s="658"/>
      <c r="BI78" s="658" t="str">
        <f t="shared" si="63"/>
        <v>ALTO</v>
      </c>
      <c r="BJ78" s="681">
        <f t="shared" si="46"/>
        <v>0.33</v>
      </c>
      <c r="BK78" s="647" t="s">
        <v>614</v>
      </c>
      <c r="BL78" s="682">
        <f t="shared" si="64"/>
        <v>4.6218487394957986E-2</v>
      </c>
      <c r="BM78" s="682">
        <f t="shared" si="65"/>
        <v>0.33330000000000004</v>
      </c>
      <c r="BN78" s="682">
        <f t="shared" si="66"/>
        <v>0.85204921524791877</v>
      </c>
      <c r="BO78" s="658"/>
      <c r="BP78" s="853">
        <f t="shared" si="59"/>
        <v>0.33</v>
      </c>
      <c r="BQ78" s="854" t="s">
        <v>105</v>
      </c>
      <c r="BR78" s="873">
        <v>0.33</v>
      </c>
      <c r="BS78" s="874" t="s">
        <v>615</v>
      </c>
      <c r="BT78" s="872" t="s">
        <v>552</v>
      </c>
      <c r="BU78" s="907" t="str">
        <f t="shared" si="47"/>
        <v>BAJO</v>
      </c>
      <c r="BV78" s="875">
        <f t="shared" si="60"/>
        <v>0.10890000000000001</v>
      </c>
      <c r="BW78" s="859" t="s">
        <v>336</v>
      </c>
      <c r="BX78" s="857">
        <f t="shared" si="67"/>
        <v>0.77754600000000007</v>
      </c>
      <c r="BY78" s="857">
        <f t="shared" si="68"/>
        <v>0.10782178217821783</v>
      </c>
      <c r="BZ78" s="857">
        <f t="shared" si="69"/>
        <v>4.2177141128571433E-2</v>
      </c>
      <c r="CA78" s="857">
        <f t="shared" si="70"/>
        <v>4.1085000000000003E-2</v>
      </c>
      <c r="CB78" s="16">
        <f t="shared" si="71"/>
        <v>0.66</v>
      </c>
      <c r="CC78" s="16">
        <f t="shared" si="72"/>
        <v>0.34</v>
      </c>
      <c r="CD78" s="16">
        <f t="shared" si="61"/>
        <v>1</v>
      </c>
      <c r="CE78" s="16">
        <f t="shared" si="62"/>
        <v>0.77890000000000004</v>
      </c>
      <c r="CF78" s="16" t="e">
        <f>SUM(#REF!/(CC78+CB78))</f>
        <v>#REF!</v>
      </c>
      <c r="CG78" s="17"/>
      <c r="CH78" s="17"/>
      <c r="CI78" s="17"/>
      <c r="CJ78" s="17"/>
      <c r="CK78" s="3" t="s">
        <v>165</v>
      </c>
      <c r="CL78" s="1"/>
      <c r="CM78" s="1"/>
      <c r="CN78" s="1"/>
      <c r="CO78" s="1"/>
      <c r="CP78" s="1"/>
      <c r="CQ78" s="1"/>
      <c r="CR78" s="1"/>
      <c r="CS78" s="1"/>
      <c r="CT78" s="1"/>
      <c r="CU78" s="1"/>
      <c r="CV78" s="346">
        <f t="shared" si="56"/>
        <v>1</v>
      </c>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c r="IX78" s="1"/>
      <c r="IY78" s="1"/>
      <c r="IZ78" s="1"/>
      <c r="JA78" s="1"/>
      <c r="JB78" s="1"/>
      <c r="JC78" s="1"/>
      <c r="JD78" s="1"/>
      <c r="JE78" s="1"/>
      <c r="JF78" s="1"/>
      <c r="JG78" s="1"/>
      <c r="JH78" s="1"/>
      <c r="JI78" s="1"/>
      <c r="JJ78" s="1"/>
      <c r="JK78" s="1"/>
      <c r="JL78" s="1"/>
      <c r="JM78" s="1"/>
      <c r="JN78" s="1"/>
      <c r="JO78" s="1"/>
      <c r="JP78" s="1"/>
      <c r="JQ78" s="1"/>
      <c r="JR78" s="1"/>
      <c r="JS78" s="1"/>
      <c r="JT78" s="1"/>
      <c r="JU78" s="1"/>
      <c r="JV78" s="1"/>
      <c r="JW78" s="1"/>
      <c r="JX78" s="1"/>
      <c r="JY78" s="1"/>
      <c r="JZ78" s="1"/>
      <c r="KA78" s="1"/>
      <c r="KB78" s="1"/>
      <c r="KC78" s="1"/>
      <c r="KD78" s="1"/>
      <c r="KE78" s="1"/>
      <c r="KF78" s="1"/>
      <c r="KG78" s="1"/>
      <c r="KH78" s="1"/>
      <c r="KI78" s="1"/>
      <c r="KJ78" s="1"/>
      <c r="KK78" s="1"/>
      <c r="KL78" s="1"/>
      <c r="KM78" s="1"/>
      <c r="KN78" s="1"/>
      <c r="KO78" s="1"/>
      <c r="KP78" s="1"/>
      <c r="KQ78" s="1"/>
    </row>
    <row r="79" spans="1:303" s="5" customFormat="1" ht="213.75" x14ac:dyDescent="0.25">
      <c r="A79" s="351" t="s">
        <v>79</v>
      </c>
      <c r="B79" s="351" t="s">
        <v>80</v>
      </c>
      <c r="C79" s="351" t="s">
        <v>81</v>
      </c>
      <c r="D79" s="351" t="s">
        <v>82</v>
      </c>
      <c r="E79" s="351" t="s">
        <v>83</v>
      </c>
      <c r="F79" s="351" t="s">
        <v>84</v>
      </c>
      <c r="G79" s="351" t="s">
        <v>85</v>
      </c>
      <c r="H79" s="351" t="s">
        <v>86</v>
      </c>
      <c r="I79" s="351" t="s">
        <v>87</v>
      </c>
      <c r="J79" s="351" t="s">
        <v>152</v>
      </c>
      <c r="K79" s="376" t="s">
        <v>538</v>
      </c>
      <c r="L79" s="376" t="s">
        <v>539</v>
      </c>
      <c r="M79" s="357" t="s">
        <v>166</v>
      </c>
      <c r="N79" s="367" t="s">
        <v>91</v>
      </c>
      <c r="O79" s="367" t="s">
        <v>154</v>
      </c>
      <c r="P79" s="930">
        <v>39542136.277533107</v>
      </c>
      <c r="Q79" s="368" t="s">
        <v>543</v>
      </c>
      <c r="R79" s="368" t="s">
        <v>156</v>
      </c>
      <c r="S79" s="357">
        <v>3</v>
      </c>
      <c r="T79" s="377" t="s">
        <v>167</v>
      </c>
      <c r="U79" s="357" t="s">
        <v>168</v>
      </c>
      <c r="V79" s="357" t="s">
        <v>98</v>
      </c>
      <c r="W79" s="497" t="s">
        <v>616</v>
      </c>
      <c r="X79" s="432">
        <v>0</v>
      </c>
      <c r="Y79" s="432">
        <v>0.34</v>
      </c>
      <c r="Z79" s="432">
        <v>0.33</v>
      </c>
      <c r="AA79" s="444">
        <v>0.33</v>
      </c>
      <c r="AB79" s="525">
        <v>7.14</v>
      </c>
      <c r="AC79" s="413">
        <v>0.99009900990099009</v>
      </c>
      <c r="AD79" s="413">
        <v>0.38730157142857141</v>
      </c>
      <c r="AE79" s="413">
        <v>0.37727272727272726</v>
      </c>
      <c r="AF79" s="692">
        <f t="shared" si="57"/>
        <v>0</v>
      </c>
      <c r="AG79" s="693" t="s">
        <v>146</v>
      </c>
      <c r="AH79" s="698">
        <v>0</v>
      </c>
      <c r="AI79" s="693"/>
      <c r="AJ79" s="693"/>
      <c r="AK79" s="693"/>
      <c r="AL79" s="692">
        <f t="shared" si="37"/>
        <v>0</v>
      </c>
      <c r="AM79" s="697" t="s">
        <v>121</v>
      </c>
      <c r="AN79" s="693">
        <f t="shared" si="38"/>
        <v>0</v>
      </c>
      <c r="AO79" s="693">
        <f t="shared" si="39"/>
        <v>0</v>
      </c>
      <c r="AP79" s="693">
        <f t="shared" si="40"/>
        <v>0</v>
      </c>
      <c r="AQ79" s="693"/>
      <c r="AR79" s="401">
        <f t="shared" si="58"/>
        <v>0.34</v>
      </c>
      <c r="AS79" s="402" t="s">
        <v>100</v>
      </c>
      <c r="AT79" s="643">
        <f>1/2</f>
        <v>0.5</v>
      </c>
      <c r="AU79" s="631" t="s">
        <v>617</v>
      </c>
      <c r="AV79" s="400"/>
      <c r="AW79" s="729" t="str">
        <f t="shared" si="51"/>
        <v>BAJO</v>
      </c>
      <c r="AX79" s="397">
        <f t="shared" si="41"/>
        <v>0.17</v>
      </c>
      <c r="AY79" s="400" t="s">
        <v>618</v>
      </c>
      <c r="AZ79" s="398">
        <f t="shared" si="42"/>
        <v>1.2138</v>
      </c>
      <c r="BA79" s="398">
        <f t="shared" si="43"/>
        <v>0.16831683168316833</v>
      </c>
      <c r="BB79" s="398">
        <f t="shared" si="44"/>
        <v>6.5841267142857152E-2</v>
      </c>
      <c r="BC79" s="15"/>
      <c r="BD79" s="14">
        <f t="shared" si="45"/>
        <v>0.33</v>
      </c>
      <c r="BE79" s="677" t="s">
        <v>100</v>
      </c>
      <c r="BF79" s="679">
        <v>1</v>
      </c>
      <c r="BG79" s="680" t="s">
        <v>619</v>
      </c>
      <c r="BH79" s="658"/>
      <c r="BI79" s="658" t="str">
        <f t="shared" si="63"/>
        <v>ALTO</v>
      </c>
      <c r="BJ79" s="681">
        <f t="shared" si="46"/>
        <v>0.33</v>
      </c>
      <c r="BK79" s="647" t="s">
        <v>620</v>
      </c>
      <c r="BL79" s="682">
        <f t="shared" si="64"/>
        <v>4.6218487394957986E-2</v>
      </c>
      <c r="BM79" s="682">
        <f t="shared" si="65"/>
        <v>0.33330000000000004</v>
      </c>
      <c r="BN79" s="682">
        <f t="shared" si="66"/>
        <v>0.85204921524791877</v>
      </c>
      <c r="BO79" s="658"/>
      <c r="BP79" s="853">
        <f t="shared" si="59"/>
        <v>0.33</v>
      </c>
      <c r="BQ79" s="854" t="s">
        <v>105</v>
      </c>
      <c r="BR79" s="873">
        <v>1</v>
      </c>
      <c r="BS79" s="874" t="s">
        <v>621</v>
      </c>
      <c r="BT79" s="872" t="s">
        <v>552</v>
      </c>
      <c r="BU79" s="905" t="str">
        <f t="shared" si="47"/>
        <v>ALTO</v>
      </c>
      <c r="BV79" s="875">
        <f t="shared" si="60"/>
        <v>0.33</v>
      </c>
      <c r="BW79" s="862" t="s">
        <v>521</v>
      </c>
      <c r="BX79" s="857">
        <f t="shared" si="67"/>
        <v>2.3561999999999999</v>
      </c>
      <c r="BY79" s="857">
        <f t="shared" si="68"/>
        <v>0.32673267326732675</v>
      </c>
      <c r="BZ79" s="857">
        <f t="shared" si="69"/>
        <v>0.12780951857142858</v>
      </c>
      <c r="CA79" s="857">
        <f t="shared" si="70"/>
        <v>0.1245</v>
      </c>
      <c r="CB79" s="16">
        <f t="shared" si="71"/>
        <v>0.66</v>
      </c>
      <c r="CC79" s="16">
        <f t="shared" si="72"/>
        <v>0.34</v>
      </c>
      <c r="CD79" s="16">
        <f t="shared" si="61"/>
        <v>1</v>
      </c>
      <c r="CE79" s="16">
        <f t="shared" si="62"/>
        <v>0.83000000000000007</v>
      </c>
      <c r="CF79" s="16" t="e">
        <f>SUM(#REF!/(CC79+CB79))</f>
        <v>#REF!</v>
      </c>
      <c r="CG79" s="17"/>
      <c r="CH79" s="17"/>
      <c r="CI79" s="17"/>
      <c r="CJ79" s="17"/>
      <c r="CK79" s="3" t="s">
        <v>165</v>
      </c>
      <c r="CL79" s="1"/>
      <c r="CM79" s="1"/>
      <c r="CN79" s="1"/>
      <c r="CO79" s="1"/>
      <c r="CP79" s="1"/>
      <c r="CQ79" s="1"/>
      <c r="CR79" s="1"/>
      <c r="CS79" s="1"/>
      <c r="CT79" s="1"/>
      <c r="CU79" s="1"/>
      <c r="CV79" s="346">
        <f t="shared" si="56"/>
        <v>1</v>
      </c>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c r="GF79" s="1"/>
      <c r="GG79" s="1"/>
      <c r="GH79" s="1"/>
      <c r="GI79" s="1"/>
      <c r="GJ79" s="1"/>
      <c r="GK79" s="1"/>
      <c r="GL79" s="1"/>
      <c r="GM79" s="1"/>
      <c r="GN79" s="1"/>
      <c r="GO79" s="1"/>
      <c r="GP79" s="1"/>
      <c r="GQ79" s="1"/>
      <c r="GR79" s="1"/>
      <c r="GS79" s="1"/>
      <c r="GT79" s="1"/>
      <c r="GU79" s="1"/>
      <c r="GV79" s="1"/>
      <c r="GW79" s="1"/>
      <c r="GX79" s="1"/>
      <c r="GY79" s="1"/>
      <c r="GZ79" s="1"/>
      <c r="HA79" s="1"/>
      <c r="HB79" s="1"/>
      <c r="HC79" s="1"/>
      <c r="HD79" s="1"/>
      <c r="HE79" s="1"/>
      <c r="HF79" s="1"/>
      <c r="HG79" s="1"/>
      <c r="HH79" s="1"/>
      <c r="HI79" s="1"/>
      <c r="HJ79" s="1"/>
      <c r="HK79" s="1"/>
      <c r="HL79" s="1"/>
      <c r="HM79" s="1"/>
      <c r="HN79" s="1"/>
      <c r="HO79" s="1"/>
      <c r="HP79" s="1"/>
      <c r="HQ79" s="1"/>
      <c r="HR79" s="1"/>
      <c r="HS79" s="1"/>
      <c r="HT79" s="1"/>
      <c r="HU79" s="1"/>
      <c r="HV79" s="1"/>
      <c r="HW79" s="1"/>
      <c r="HX79" s="1"/>
      <c r="HY79" s="1"/>
      <c r="HZ79" s="1"/>
      <c r="IA79" s="1"/>
      <c r="IB79" s="1"/>
      <c r="IC79" s="1"/>
      <c r="ID79" s="1"/>
      <c r="IE79" s="1"/>
      <c r="IF79" s="1"/>
      <c r="IG79" s="1"/>
      <c r="IH79" s="1"/>
      <c r="II79" s="1"/>
      <c r="IJ79" s="1"/>
      <c r="IK79" s="1"/>
      <c r="IL79" s="1"/>
      <c r="IM79" s="1"/>
      <c r="IN79" s="1"/>
      <c r="IO79" s="1"/>
      <c r="IP79" s="1"/>
      <c r="IQ79" s="1"/>
      <c r="IR79" s="1"/>
      <c r="IS79" s="1"/>
      <c r="IT79" s="1"/>
      <c r="IU79" s="1"/>
      <c r="IV79" s="1"/>
      <c r="IW79" s="1"/>
      <c r="IX79" s="1"/>
      <c r="IY79" s="1"/>
      <c r="IZ79" s="1"/>
      <c r="JA79" s="1"/>
      <c r="JB79" s="1"/>
      <c r="JC79" s="1"/>
      <c r="JD79" s="1"/>
      <c r="JE79" s="1"/>
      <c r="JF79" s="1"/>
      <c r="JG79" s="1"/>
      <c r="JH79" s="1"/>
      <c r="JI79" s="1"/>
      <c r="JJ79" s="1"/>
      <c r="JK79" s="1"/>
      <c r="JL79" s="1"/>
      <c r="JM79" s="1"/>
      <c r="JN79" s="1"/>
      <c r="JO79" s="1"/>
      <c r="JP79" s="1"/>
      <c r="JQ79" s="1"/>
      <c r="JR79" s="1"/>
      <c r="JS79" s="1"/>
      <c r="JT79" s="1"/>
      <c r="JU79" s="1"/>
      <c r="JV79" s="1"/>
      <c r="JW79" s="1"/>
      <c r="JX79" s="1"/>
      <c r="JY79" s="1"/>
      <c r="JZ79" s="1"/>
      <c r="KA79" s="1"/>
      <c r="KB79" s="1"/>
      <c r="KC79" s="1"/>
      <c r="KD79" s="1"/>
      <c r="KE79" s="1"/>
      <c r="KF79" s="1"/>
      <c r="KG79" s="1"/>
      <c r="KH79" s="1"/>
      <c r="KI79" s="1"/>
      <c r="KJ79" s="1"/>
      <c r="KK79" s="1"/>
      <c r="KL79" s="1"/>
      <c r="KM79" s="1"/>
      <c r="KN79" s="1"/>
      <c r="KO79" s="1"/>
      <c r="KP79" s="1"/>
      <c r="KQ79" s="1"/>
    </row>
    <row r="80" spans="1:303" s="3" customFormat="1" ht="171" x14ac:dyDescent="0.25">
      <c r="A80" s="351" t="s">
        <v>79</v>
      </c>
      <c r="B80" s="351" t="s">
        <v>80</v>
      </c>
      <c r="C80" s="351" t="s">
        <v>81</v>
      </c>
      <c r="D80" s="351" t="s">
        <v>82</v>
      </c>
      <c r="E80" s="351" t="s">
        <v>83</v>
      </c>
      <c r="F80" s="351" t="s">
        <v>84</v>
      </c>
      <c r="G80" s="351" t="s">
        <v>85</v>
      </c>
      <c r="H80" s="351" t="s">
        <v>86</v>
      </c>
      <c r="I80" s="351" t="s">
        <v>87</v>
      </c>
      <c r="J80" s="351" t="s">
        <v>152</v>
      </c>
      <c r="K80" s="376" t="s">
        <v>538</v>
      </c>
      <c r="L80" s="376" t="s">
        <v>539</v>
      </c>
      <c r="M80" s="357" t="s">
        <v>174</v>
      </c>
      <c r="N80" s="367" t="s">
        <v>91</v>
      </c>
      <c r="O80" s="367" t="s">
        <v>154</v>
      </c>
      <c r="P80" s="930">
        <v>39542136.277533107</v>
      </c>
      <c r="Q80" s="368" t="s">
        <v>543</v>
      </c>
      <c r="R80" s="368" t="s">
        <v>156</v>
      </c>
      <c r="S80" s="357">
        <v>3</v>
      </c>
      <c r="T80" s="371" t="s">
        <v>175</v>
      </c>
      <c r="U80" s="357" t="s">
        <v>176</v>
      </c>
      <c r="V80" s="357" t="s">
        <v>98</v>
      </c>
      <c r="W80" s="497" t="s">
        <v>159</v>
      </c>
      <c r="X80" s="432">
        <v>0</v>
      </c>
      <c r="Y80" s="432">
        <v>0.33</v>
      </c>
      <c r="Z80" s="432">
        <v>0.33</v>
      </c>
      <c r="AA80" s="444">
        <v>0.34</v>
      </c>
      <c r="AB80" s="525">
        <v>7.14</v>
      </c>
      <c r="AC80" s="413">
        <v>0.99009900990099009</v>
      </c>
      <c r="AD80" s="413">
        <v>0.38730157142857141</v>
      </c>
      <c r="AE80" s="413">
        <v>0.37727272727272726</v>
      </c>
      <c r="AF80" s="692">
        <f t="shared" si="57"/>
        <v>0</v>
      </c>
      <c r="AG80" s="693" t="s">
        <v>146</v>
      </c>
      <c r="AH80" s="698">
        <v>0</v>
      </c>
      <c r="AI80" s="696"/>
      <c r="AJ80" s="696"/>
      <c r="AK80" s="693"/>
      <c r="AL80" s="692">
        <f t="shared" si="37"/>
        <v>0</v>
      </c>
      <c r="AM80" s="695" t="s">
        <v>121</v>
      </c>
      <c r="AN80" s="693">
        <f t="shared" si="38"/>
        <v>0</v>
      </c>
      <c r="AO80" s="693">
        <f t="shared" si="39"/>
        <v>0</v>
      </c>
      <c r="AP80" s="693">
        <f t="shared" si="40"/>
        <v>0</v>
      </c>
      <c r="AQ80" s="696"/>
      <c r="AR80" s="401">
        <f t="shared" si="58"/>
        <v>0.33</v>
      </c>
      <c r="AS80" s="402" t="s">
        <v>100</v>
      </c>
      <c r="AT80" s="643">
        <f>1/1</f>
        <v>1</v>
      </c>
      <c r="AU80" s="631" t="s">
        <v>622</v>
      </c>
      <c r="AV80" s="400"/>
      <c r="AW80" s="729" t="str">
        <f t="shared" si="51"/>
        <v>ALTO</v>
      </c>
      <c r="AX80" s="397">
        <f t="shared" si="41"/>
        <v>0.33</v>
      </c>
      <c r="AY80" s="400" t="s">
        <v>246</v>
      </c>
      <c r="AZ80" s="398">
        <f t="shared" si="42"/>
        <v>2.3561999999999999</v>
      </c>
      <c r="BA80" s="398">
        <f t="shared" si="43"/>
        <v>0.32673267326732675</v>
      </c>
      <c r="BB80" s="398">
        <f t="shared" si="44"/>
        <v>0.12780951857142858</v>
      </c>
      <c r="BC80" s="18"/>
      <c r="BD80" s="14">
        <f t="shared" si="45"/>
        <v>0.33</v>
      </c>
      <c r="BE80" s="677" t="s">
        <v>100</v>
      </c>
      <c r="BF80" s="679">
        <v>1</v>
      </c>
      <c r="BG80" s="680" t="s">
        <v>623</v>
      </c>
      <c r="BH80" s="754"/>
      <c r="BI80" s="658" t="str">
        <f t="shared" si="63"/>
        <v>ALTO</v>
      </c>
      <c r="BJ80" s="681">
        <f t="shared" si="46"/>
        <v>0.33</v>
      </c>
      <c r="BK80" s="680" t="s">
        <v>624</v>
      </c>
      <c r="BL80" s="682">
        <f t="shared" si="64"/>
        <v>4.6218487394957986E-2</v>
      </c>
      <c r="BM80" s="682">
        <f t="shared" si="65"/>
        <v>0.33330000000000004</v>
      </c>
      <c r="BN80" s="682">
        <f t="shared" si="66"/>
        <v>0.85204921524791877</v>
      </c>
      <c r="BO80" s="754"/>
      <c r="BP80" s="853">
        <f t="shared" si="59"/>
        <v>0.34</v>
      </c>
      <c r="BQ80" s="854" t="s">
        <v>105</v>
      </c>
      <c r="BR80" s="855">
        <v>1</v>
      </c>
      <c r="BS80" s="859" t="s">
        <v>625</v>
      </c>
      <c r="BT80" s="872" t="s">
        <v>552</v>
      </c>
      <c r="BU80" s="905" t="str">
        <f t="shared" si="47"/>
        <v>ALTO</v>
      </c>
      <c r="BV80" s="875">
        <f t="shared" si="60"/>
        <v>0.34</v>
      </c>
      <c r="BW80" s="859" t="s">
        <v>180</v>
      </c>
      <c r="BX80" s="857">
        <f t="shared" si="67"/>
        <v>2.4276</v>
      </c>
      <c r="BY80" s="857">
        <f t="shared" si="68"/>
        <v>0.33663366336633666</v>
      </c>
      <c r="BZ80" s="857">
        <f t="shared" si="69"/>
        <v>0.1316825342857143</v>
      </c>
      <c r="CA80" s="857">
        <f t="shared" si="70"/>
        <v>0.12827272727272729</v>
      </c>
      <c r="CB80" s="16">
        <f t="shared" si="71"/>
        <v>0.67</v>
      </c>
      <c r="CC80" s="16">
        <f t="shared" si="72"/>
        <v>0.33</v>
      </c>
      <c r="CD80" s="16">
        <f t="shared" si="61"/>
        <v>1</v>
      </c>
      <c r="CE80" s="16">
        <f t="shared" si="62"/>
        <v>1</v>
      </c>
      <c r="CF80" s="16" t="e">
        <f>SUM(#REF!/(CC80+CB80))</f>
        <v>#REF!</v>
      </c>
      <c r="CG80" s="19"/>
      <c r="CH80" s="19"/>
      <c r="CI80" s="19"/>
      <c r="CJ80" s="19"/>
      <c r="CK80" s="3" t="s">
        <v>165</v>
      </c>
      <c r="CV80" s="346">
        <f t="shared" si="56"/>
        <v>1</v>
      </c>
    </row>
    <row r="81" spans="1:303" s="5" customFormat="1" ht="171" x14ac:dyDescent="0.25">
      <c r="A81" s="351" t="s">
        <v>79</v>
      </c>
      <c r="B81" s="351" t="s">
        <v>80</v>
      </c>
      <c r="C81" s="351" t="s">
        <v>81</v>
      </c>
      <c r="D81" s="351" t="s">
        <v>82</v>
      </c>
      <c r="E81" s="351" t="s">
        <v>83</v>
      </c>
      <c r="F81" s="351" t="s">
        <v>84</v>
      </c>
      <c r="G81" s="351" t="s">
        <v>85</v>
      </c>
      <c r="H81" s="351" t="s">
        <v>626</v>
      </c>
      <c r="I81" s="356" t="s">
        <v>87</v>
      </c>
      <c r="J81" s="356" t="s">
        <v>152</v>
      </c>
      <c r="K81" s="376" t="s">
        <v>538</v>
      </c>
      <c r="L81" s="376" t="s">
        <v>539</v>
      </c>
      <c r="M81" s="357" t="s">
        <v>181</v>
      </c>
      <c r="N81" s="367" t="s">
        <v>91</v>
      </c>
      <c r="O81" s="367" t="s">
        <v>154</v>
      </c>
      <c r="P81" s="930">
        <v>39542136.277533107</v>
      </c>
      <c r="Q81" s="368" t="s">
        <v>543</v>
      </c>
      <c r="R81" s="368" t="s">
        <v>156</v>
      </c>
      <c r="S81" s="371">
        <v>1</v>
      </c>
      <c r="T81" s="369" t="s">
        <v>182</v>
      </c>
      <c r="U81" s="357" t="s">
        <v>183</v>
      </c>
      <c r="V81" s="357" t="s">
        <v>98</v>
      </c>
      <c r="W81" s="497" t="s">
        <v>184</v>
      </c>
      <c r="X81" s="432">
        <v>0</v>
      </c>
      <c r="Y81" s="432">
        <v>0.5</v>
      </c>
      <c r="Z81" s="432">
        <v>0</v>
      </c>
      <c r="AA81" s="444">
        <v>0.5</v>
      </c>
      <c r="AB81" s="525">
        <v>7.14</v>
      </c>
      <c r="AC81" s="413">
        <v>0.99009900990099009</v>
      </c>
      <c r="AD81" s="413">
        <v>0.38730157142857141</v>
      </c>
      <c r="AE81" s="413">
        <v>0.37727272727272726</v>
      </c>
      <c r="AF81" s="692">
        <f t="shared" si="57"/>
        <v>0</v>
      </c>
      <c r="AG81" s="693" t="s">
        <v>146</v>
      </c>
      <c r="AH81" s="698">
        <v>0</v>
      </c>
      <c r="AI81" s="693"/>
      <c r="AJ81" s="693"/>
      <c r="AK81" s="693"/>
      <c r="AL81" s="692">
        <f t="shared" si="37"/>
        <v>0</v>
      </c>
      <c r="AM81" s="697" t="s">
        <v>121</v>
      </c>
      <c r="AN81" s="693">
        <f t="shared" si="38"/>
        <v>0</v>
      </c>
      <c r="AO81" s="693">
        <f t="shared" si="39"/>
        <v>0</v>
      </c>
      <c r="AP81" s="693">
        <f t="shared" si="40"/>
        <v>0</v>
      </c>
      <c r="AQ81" s="693"/>
      <c r="AR81" s="401">
        <f t="shared" si="58"/>
        <v>0.5</v>
      </c>
      <c r="AS81" s="402" t="s">
        <v>100</v>
      </c>
      <c r="AT81" s="643">
        <f>2/2</f>
        <v>1</v>
      </c>
      <c r="AU81" s="400" t="s">
        <v>627</v>
      </c>
      <c r="AV81" s="400"/>
      <c r="AW81" s="729" t="str">
        <f t="shared" si="51"/>
        <v>ALTO</v>
      </c>
      <c r="AX81" s="397">
        <f t="shared" si="41"/>
        <v>0.5</v>
      </c>
      <c r="AY81" s="400" t="s">
        <v>628</v>
      </c>
      <c r="AZ81" s="398">
        <f t="shared" si="42"/>
        <v>3.57</v>
      </c>
      <c r="BA81" s="398">
        <f t="shared" si="43"/>
        <v>0.49504950495049505</v>
      </c>
      <c r="BB81" s="398">
        <f t="shared" si="44"/>
        <v>0.19365078571428571</v>
      </c>
      <c r="BC81" s="15"/>
      <c r="BD81" s="14">
        <f t="shared" si="45"/>
        <v>0</v>
      </c>
      <c r="BE81" s="677" t="s">
        <v>100</v>
      </c>
      <c r="BF81" s="679">
        <v>1</v>
      </c>
      <c r="BG81" s="680" t="s">
        <v>629</v>
      </c>
      <c r="BH81" s="658"/>
      <c r="BI81" s="658" t="str">
        <f t="shared" si="63"/>
        <v>ALTO</v>
      </c>
      <c r="BJ81" s="681">
        <f t="shared" si="46"/>
        <v>0</v>
      </c>
      <c r="BK81" s="647" t="s">
        <v>630</v>
      </c>
      <c r="BL81" s="682">
        <f t="shared" si="64"/>
        <v>0</v>
      </c>
      <c r="BM81" s="682">
        <f t="shared" si="65"/>
        <v>0</v>
      </c>
      <c r="BN81" s="682">
        <f t="shared" si="66"/>
        <v>0</v>
      </c>
      <c r="BO81" s="658"/>
      <c r="BP81" s="853">
        <f t="shared" si="59"/>
        <v>0.5</v>
      </c>
      <c r="BQ81" s="854" t="s">
        <v>105</v>
      </c>
      <c r="BR81" s="873">
        <v>1</v>
      </c>
      <c r="BS81" s="874" t="s">
        <v>631</v>
      </c>
      <c r="BT81" s="872" t="s">
        <v>552</v>
      </c>
      <c r="BU81" s="905" t="str">
        <f t="shared" si="47"/>
        <v>ALTO</v>
      </c>
      <c r="BV81" s="875">
        <f t="shared" si="60"/>
        <v>0.5</v>
      </c>
      <c r="BW81" s="862" t="s">
        <v>632</v>
      </c>
      <c r="BX81" s="857">
        <f t="shared" si="67"/>
        <v>3.57</v>
      </c>
      <c r="BY81" s="857">
        <f t="shared" si="68"/>
        <v>0.49504950495049505</v>
      </c>
      <c r="BZ81" s="857">
        <f t="shared" si="69"/>
        <v>0.19365078571428571</v>
      </c>
      <c r="CA81" s="857">
        <f t="shared" si="70"/>
        <v>0.18863636363636363</v>
      </c>
      <c r="CB81" s="16">
        <f t="shared" si="71"/>
        <v>0.5</v>
      </c>
      <c r="CC81" s="16">
        <f t="shared" si="72"/>
        <v>0.5</v>
      </c>
      <c r="CD81" s="16">
        <f t="shared" si="61"/>
        <v>1</v>
      </c>
      <c r="CE81" s="16">
        <f t="shared" si="62"/>
        <v>1</v>
      </c>
      <c r="CF81" s="16" t="e">
        <f>SUM(#REF!/(CC81+CB81))</f>
        <v>#REF!</v>
      </c>
      <c r="CG81" s="17"/>
      <c r="CH81" s="17"/>
      <c r="CI81" s="17"/>
      <c r="CJ81" s="17"/>
      <c r="CK81" s="3" t="s">
        <v>165</v>
      </c>
      <c r="CL81" s="1"/>
      <c r="CM81" s="1"/>
      <c r="CN81" s="1"/>
      <c r="CO81" s="1"/>
      <c r="CP81" s="1"/>
      <c r="CQ81" s="1"/>
      <c r="CR81" s="1"/>
      <c r="CS81" s="1"/>
      <c r="CT81" s="1"/>
      <c r="CU81" s="1"/>
      <c r="CV81" s="346">
        <f t="shared" si="56"/>
        <v>1</v>
      </c>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1"/>
      <c r="JN81" s="1"/>
      <c r="JO81" s="1"/>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row>
    <row r="82" spans="1:303" s="5" customFormat="1" ht="409.5" x14ac:dyDescent="0.25">
      <c r="A82" s="351" t="s">
        <v>79</v>
      </c>
      <c r="B82" s="351" t="s">
        <v>80</v>
      </c>
      <c r="C82" s="351" t="s">
        <v>81</v>
      </c>
      <c r="D82" s="351" t="s">
        <v>82</v>
      </c>
      <c r="E82" s="351" t="s">
        <v>83</v>
      </c>
      <c r="F82" s="351" t="s">
        <v>84</v>
      </c>
      <c r="G82" s="351" t="s">
        <v>85</v>
      </c>
      <c r="H82" s="351" t="s">
        <v>626</v>
      </c>
      <c r="I82" s="356" t="s">
        <v>87</v>
      </c>
      <c r="J82" s="356" t="s">
        <v>152</v>
      </c>
      <c r="K82" s="376" t="s">
        <v>538</v>
      </c>
      <c r="L82" s="376" t="s">
        <v>539</v>
      </c>
      <c r="M82" s="357" t="s">
        <v>633</v>
      </c>
      <c r="N82" s="367" t="s">
        <v>91</v>
      </c>
      <c r="O82" s="367" t="s">
        <v>154</v>
      </c>
      <c r="P82" s="930">
        <v>39542136.277533107</v>
      </c>
      <c r="Q82" s="368" t="s">
        <v>543</v>
      </c>
      <c r="R82" s="368" t="s">
        <v>156</v>
      </c>
      <c r="S82" s="378">
        <v>1</v>
      </c>
      <c r="T82" s="369" t="s">
        <v>191</v>
      </c>
      <c r="U82" s="357" t="s">
        <v>158</v>
      </c>
      <c r="V82" s="357" t="s">
        <v>98</v>
      </c>
      <c r="W82" s="497" t="s">
        <v>634</v>
      </c>
      <c r="X82" s="432">
        <v>0</v>
      </c>
      <c r="Y82" s="432">
        <v>0</v>
      </c>
      <c r="Z82" s="432">
        <v>0.34</v>
      </c>
      <c r="AA82" s="444">
        <v>0.66</v>
      </c>
      <c r="AB82" s="525">
        <v>7.14</v>
      </c>
      <c r="AC82" s="413">
        <v>0.99009900990099009</v>
      </c>
      <c r="AD82" s="413">
        <v>0.38730157142857141</v>
      </c>
      <c r="AE82" s="413">
        <v>0.37727272727272726</v>
      </c>
      <c r="AF82" s="692">
        <f t="shared" si="57"/>
        <v>0</v>
      </c>
      <c r="AG82" s="693" t="s">
        <v>146</v>
      </c>
      <c r="AH82" s="698">
        <v>0</v>
      </c>
      <c r="AI82" s="695"/>
      <c r="AJ82" s="693"/>
      <c r="AK82" s="693"/>
      <c r="AL82" s="692">
        <f t="shared" si="37"/>
        <v>0</v>
      </c>
      <c r="AM82" s="697" t="s">
        <v>121</v>
      </c>
      <c r="AN82" s="693">
        <f t="shared" si="38"/>
        <v>0</v>
      </c>
      <c r="AO82" s="693">
        <f t="shared" si="39"/>
        <v>0</v>
      </c>
      <c r="AP82" s="693">
        <f t="shared" si="40"/>
        <v>0</v>
      </c>
      <c r="AQ82" s="693"/>
      <c r="AR82" s="401">
        <f t="shared" si="58"/>
        <v>0</v>
      </c>
      <c r="AS82" s="402" t="s">
        <v>146</v>
      </c>
      <c r="AT82" s="643">
        <v>0</v>
      </c>
      <c r="AU82" s="631" t="s">
        <v>635</v>
      </c>
      <c r="AV82" s="400"/>
      <c r="AW82" s="729" t="str">
        <f t="shared" si="51"/>
        <v>BAJO</v>
      </c>
      <c r="AX82" s="397">
        <f t="shared" si="41"/>
        <v>0</v>
      </c>
      <c r="AY82" s="400"/>
      <c r="AZ82" s="398">
        <f t="shared" si="42"/>
        <v>0</v>
      </c>
      <c r="BA82" s="398">
        <f t="shared" si="43"/>
        <v>0</v>
      </c>
      <c r="BB82" s="398">
        <f t="shared" si="44"/>
        <v>0</v>
      </c>
      <c r="BC82" s="15"/>
      <c r="BD82" s="14">
        <f t="shared" si="45"/>
        <v>0.34</v>
      </c>
      <c r="BE82" s="677" t="s">
        <v>100</v>
      </c>
      <c r="BF82" s="679">
        <v>1</v>
      </c>
      <c r="BG82" s="680" t="s">
        <v>636</v>
      </c>
      <c r="BH82" s="658"/>
      <c r="BI82" s="658" t="str">
        <f t="shared" si="63"/>
        <v>ALTO</v>
      </c>
      <c r="BJ82" s="681">
        <f t="shared" si="46"/>
        <v>0.34</v>
      </c>
      <c r="BK82" s="647" t="s">
        <v>637</v>
      </c>
      <c r="BL82" s="682">
        <f t="shared" si="64"/>
        <v>4.7619047619047623E-2</v>
      </c>
      <c r="BM82" s="682">
        <f t="shared" si="65"/>
        <v>0.34340000000000004</v>
      </c>
      <c r="BN82" s="682">
        <f t="shared" si="66"/>
        <v>0.87786888843724964</v>
      </c>
      <c r="BO82" s="658"/>
      <c r="BP82" s="853">
        <f t="shared" si="59"/>
        <v>0.66</v>
      </c>
      <c r="BQ82" s="854" t="s">
        <v>105</v>
      </c>
      <c r="BR82" s="873">
        <v>1</v>
      </c>
      <c r="BS82" s="874" t="s">
        <v>638</v>
      </c>
      <c r="BT82" s="872" t="s">
        <v>552</v>
      </c>
      <c r="BU82" s="905" t="str">
        <f t="shared" si="47"/>
        <v>ALTO</v>
      </c>
      <c r="BV82" s="875">
        <f t="shared" si="60"/>
        <v>0.66</v>
      </c>
      <c r="BW82" s="862" t="s">
        <v>639</v>
      </c>
      <c r="BX82" s="857">
        <f t="shared" si="67"/>
        <v>4.7123999999999997</v>
      </c>
      <c r="BY82" s="857">
        <f t="shared" si="68"/>
        <v>0.65346534653465349</v>
      </c>
      <c r="BZ82" s="857">
        <f t="shared" si="69"/>
        <v>0.25561903714285716</v>
      </c>
      <c r="CA82" s="857">
        <f t="shared" si="70"/>
        <v>0.249</v>
      </c>
      <c r="CB82" s="16">
        <f t="shared" si="71"/>
        <v>1</v>
      </c>
      <c r="CC82" s="16">
        <f t="shared" si="72"/>
        <v>0</v>
      </c>
      <c r="CD82" s="16">
        <f t="shared" si="61"/>
        <v>1</v>
      </c>
      <c r="CE82" s="16">
        <f t="shared" si="62"/>
        <v>1</v>
      </c>
      <c r="CF82" s="16" t="e">
        <f>SUM(#REF!/(CC82+CB82))</f>
        <v>#REF!</v>
      </c>
      <c r="CG82" s="17"/>
      <c r="CH82" s="17"/>
      <c r="CI82" s="17"/>
      <c r="CJ82" s="17"/>
      <c r="CK82" s="3" t="s">
        <v>165</v>
      </c>
      <c r="CL82" s="1"/>
      <c r="CM82" s="1"/>
      <c r="CN82" s="1"/>
      <c r="CO82" s="1"/>
      <c r="CP82" s="1"/>
      <c r="CQ82" s="1"/>
      <c r="CR82" s="1"/>
      <c r="CS82" s="1"/>
      <c r="CT82" s="1"/>
      <c r="CU82" s="1"/>
      <c r="CV82" s="346">
        <f t="shared" si="56"/>
        <v>1</v>
      </c>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c r="GF82" s="1"/>
      <c r="GG82" s="1"/>
      <c r="GH82" s="1"/>
      <c r="GI82" s="1"/>
      <c r="GJ82" s="1"/>
      <c r="GK82" s="1"/>
      <c r="GL82" s="1"/>
      <c r="GM82" s="1"/>
      <c r="GN82" s="1"/>
      <c r="GO82" s="1"/>
      <c r="GP82" s="1"/>
      <c r="GQ82" s="1"/>
      <c r="GR82" s="1"/>
      <c r="GS82" s="1"/>
      <c r="GT82" s="1"/>
      <c r="GU82" s="1"/>
      <c r="GV82" s="1"/>
      <c r="GW82" s="1"/>
      <c r="GX82" s="1"/>
      <c r="GY82" s="1"/>
      <c r="GZ82" s="1"/>
      <c r="HA82" s="1"/>
      <c r="HB82" s="1"/>
      <c r="HC82" s="1"/>
      <c r="HD82" s="1"/>
      <c r="HE82" s="1"/>
      <c r="HF82" s="1"/>
      <c r="HG82" s="1"/>
      <c r="HH82" s="1"/>
      <c r="HI82" s="1"/>
      <c r="HJ82" s="1"/>
      <c r="HK82" s="1"/>
      <c r="HL82" s="1"/>
      <c r="HM82" s="1"/>
      <c r="HN82" s="1"/>
      <c r="HO82" s="1"/>
      <c r="HP82" s="1"/>
      <c r="HQ82" s="1"/>
      <c r="HR82" s="1"/>
      <c r="HS82" s="1"/>
      <c r="HT82" s="1"/>
      <c r="HU82" s="1"/>
      <c r="HV82" s="1"/>
      <c r="HW82" s="1"/>
      <c r="HX82" s="1"/>
      <c r="HY82" s="1"/>
      <c r="HZ82" s="1"/>
      <c r="IA82" s="1"/>
      <c r="IB82" s="1"/>
      <c r="IC82" s="1"/>
      <c r="ID82" s="1"/>
      <c r="IE82" s="1"/>
      <c r="IF82" s="1"/>
      <c r="IG82" s="1"/>
      <c r="IH82" s="1"/>
      <c r="II82" s="1"/>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row>
    <row r="83" spans="1:303" s="5" customFormat="1" ht="171" x14ac:dyDescent="0.25">
      <c r="A83" s="351" t="s">
        <v>79</v>
      </c>
      <c r="B83" s="351" t="s">
        <v>80</v>
      </c>
      <c r="C83" s="351" t="s">
        <v>81</v>
      </c>
      <c r="D83" s="351" t="s">
        <v>82</v>
      </c>
      <c r="E83" s="351" t="s">
        <v>83</v>
      </c>
      <c r="F83" s="351" t="s">
        <v>84</v>
      </c>
      <c r="G83" s="351" t="s">
        <v>85</v>
      </c>
      <c r="H83" s="351" t="s">
        <v>640</v>
      </c>
      <c r="I83" s="356" t="s">
        <v>87</v>
      </c>
      <c r="J83" s="356" t="s">
        <v>152</v>
      </c>
      <c r="K83" s="376" t="s">
        <v>538</v>
      </c>
      <c r="L83" s="376" t="s">
        <v>539</v>
      </c>
      <c r="M83" s="357" t="s">
        <v>195</v>
      </c>
      <c r="N83" s="367" t="s">
        <v>91</v>
      </c>
      <c r="O83" s="367" t="s">
        <v>154</v>
      </c>
      <c r="P83" s="930">
        <v>39542136.277533107</v>
      </c>
      <c r="Q83" s="368" t="s">
        <v>543</v>
      </c>
      <c r="R83" s="368" t="s">
        <v>156</v>
      </c>
      <c r="S83" s="357">
        <v>7</v>
      </c>
      <c r="T83" s="369" t="s">
        <v>196</v>
      </c>
      <c r="U83" s="357" t="s">
        <v>158</v>
      </c>
      <c r="V83" s="370" t="s">
        <v>98</v>
      </c>
      <c r="W83" s="497" t="s">
        <v>197</v>
      </c>
      <c r="X83" s="432">
        <v>0</v>
      </c>
      <c r="Y83" s="432">
        <f>1/7</f>
        <v>0.14285714285714285</v>
      </c>
      <c r="Z83" s="432">
        <f>3/7</f>
        <v>0.42857142857142855</v>
      </c>
      <c r="AA83" s="444">
        <f>3/7</f>
        <v>0.42857142857142855</v>
      </c>
      <c r="AB83" s="525">
        <v>7.14</v>
      </c>
      <c r="AC83" s="413">
        <v>0.99009900990099009</v>
      </c>
      <c r="AD83" s="413">
        <v>0.38730157142857141</v>
      </c>
      <c r="AE83" s="413">
        <v>0.37727272727272726</v>
      </c>
      <c r="AF83" s="692">
        <f t="shared" si="57"/>
        <v>0</v>
      </c>
      <c r="AG83" s="693" t="s">
        <v>146</v>
      </c>
      <c r="AH83" s="698">
        <v>0</v>
      </c>
      <c r="AI83" s="695"/>
      <c r="AJ83" s="693"/>
      <c r="AK83" s="693"/>
      <c r="AL83" s="692">
        <f t="shared" si="37"/>
        <v>0</v>
      </c>
      <c r="AM83" s="697" t="s">
        <v>121</v>
      </c>
      <c r="AN83" s="693">
        <f t="shared" si="38"/>
        <v>0</v>
      </c>
      <c r="AO83" s="693">
        <f t="shared" si="39"/>
        <v>0</v>
      </c>
      <c r="AP83" s="693">
        <f t="shared" si="40"/>
        <v>0</v>
      </c>
      <c r="AQ83" s="693"/>
      <c r="AR83" s="401">
        <f t="shared" si="58"/>
        <v>0.14285714285714285</v>
      </c>
      <c r="AS83" s="402" t="s">
        <v>100</v>
      </c>
      <c r="AT83" s="643">
        <f>1/1</f>
        <v>1</v>
      </c>
      <c r="AU83" s="409" t="s">
        <v>641</v>
      </c>
      <c r="AV83" s="400"/>
      <c r="AW83" s="729" t="str">
        <f t="shared" si="51"/>
        <v>ALTO</v>
      </c>
      <c r="AX83" s="397">
        <f t="shared" si="41"/>
        <v>0.14285714285714285</v>
      </c>
      <c r="AY83" s="400" t="s">
        <v>246</v>
      </c>
      <c r="AZ83" s="398">
        <f t="shared" si="42"/>
        <v>1.0199999999999998</v>
      </c>
      <c r="BA83" s="398">
        <f t="shared" si="43"/>
        <v>0.14144271570014144</v>
      </c>
      <c r="BB83" s="398">
        <f t="shared" si="44"/>
        <v>5.5328795918367341E-2</v>
      </c>
      <c r="BC83" s="15"/>
      <c r="BD83" s="14">
        <f t="shared" si="45"/>
        <v>0.42857142857142855</v>
      </c>
      <c r="BE83" s="677" t="s">
        <v>100</v>
      </c>
      <c r="BF83" s="679">
        <v>1</v>
      </c>
      <c r="BG83" s="680" t="s">
        <v>642</v>
      </c>
      <c r="BH83" s="658"/>
      <c r="BI83" s="658" t="str">
        <f t="shared" si="63"/>
        <v>ALTO</v>
      </c>
      <c r="BJ83" s="681">
        <f t="shared" si="46"/>
        <v>0.42857142857142855</v>
      </c>
      <c r="BK83" s="647" t="s">
        <v>643</v>
      </c>
      <c r="BL83" s="682">
        <f t="shared" si="64"/>
        <v>6.0024009603841535E-2</v>
      </c>
      <c r="BM83" s="682">
        <f t="shared" si="65"/>
        <v>0.43285714285714283</v>
      </c>
      <c r="BN83" s="682">
        <f t="shared" si="66"/>
        <v>1.1065574223998944</v>
      </c>
      <c r="BO83" s="658"/>
      <c r="BP83" s="853">
        <f t="shared" si="59"/>
        <v>0.42857142857142855</v>
      </c>
      <c r="BQ83" s="854" t="s">
        <v>105</v>
      </c>
      <c r="BR83" s="873">
        <v>1</v>
      </c>
      <c r="BS83" s="874" t="s">
        <v>644</v>
      </c>
      <c r="BT83" s="872" t="s">
        <v>552</v>
      </c>
      <c r="BU83" s="905" t="str">
        <f t="shared" si="47"/>
        <v>ALTO</v>
      </c>
      <c r="BV83" s="875">
        <f t="shared" si="60"/>
        <v>0.42857142857142855</v>
      </c>
      <c r="BW83" s="862" t="s">
        <v>645</v>
      </c>
      <c r="BX83" s="857">
        <f t="shared" si="67"/>
        <v>3.0599999999999996</v>
      </c>
      <c r="BY83" s="857">
        <f t="shared" si="68"/>
        <v>0.42432814710042432</v>
      </c>
      <c r="BZ83" s="857">
        <f t="shared" si="69"/>
        <v>0.16598638775510202</v>
      </c>
      <c r="CA83" s="857">
        <f t="shared" si="70"/>
        <v>0.16168831168831169</v>
      </c>
      <c r="CB83" s="16">
        <f t="shared" si="71"/>
        <v>0.8571428571428571</v>
      </c>
      <c r="CC83" s="16">
        <f t="shared" si="72"/>
        <v>0.14285714285714285</v>
      </c>
      <c r="CD83" s="16">
        <f t="shared" si="61"/>
        <v>1</v>
      </c>
      <c r="CE83" s="16">
        <f t="shared" si="62"/>
        <v>1</v>
      </c>
      <c r="CF83" s="16" t="e">
        <f>SUM(#REF!/(CC83+CB83))</f>
        <v>#REF!</v>
      </c>
      <c r="CG83" s="17"/>
      <c r="CH83" s="17"/>
      <c r="CI83" s="17"/>
      <c r="CJ83" s="17"/>
      <c r="CK83" s="3" t="s">
        <v>165</v>
      </c>
      <c r="CL83" s="1"/>
      <c r="CM83" s="1"/>
      <c r="CN83" s="1"/>
      <c r="CO83" s="1"/>
      <c r="CP83" s="1"/>
      <c r="CQ83" s="1"/>
      <c r="CR83" s="1"/>
      <c r="CS83" s="1"/>
      <c r="CT83" s="1"/>
      <c r="CU83" s="1"/>
      <c r="CV83" s="346">
        <f t="shared" si="56"/>
        <v>1</v>
      </c>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c r="GF83" s="1"/>
      <c r="GG83" s="1"/>
      <c r="GH83" s="1"/>
      <c r="GI83" s="1"/>
      <c r="GJ83" s="1"/>
      <c r="GK83" s="1"/>
      <c r="GL83" s="1"/>
      <c r="GM83" s="1"/>
      <c r="GN83" s="1"/>
      <c r="GO83" s="1"/>
      <c r="GP83" s="1"/>
      <c r="GQ83" s="1"/>
      <c r="GR83" s="1"/>
      <c r="GS83" s="1"/>
      <c r="GT83" s="1"/>
      <c r="GU83" s="1"/>
      <c r="GV83" s="1"/>
      <c r="GW83" s="1"/>
      <c r="GX83" s="1"/>
      <c r="GY83" s="1"/>
      <c r="GZ83" s="1"/>
      <c r="HA83" s="1"/>
      <c r="HB83" s="1"/>
      <c r="HC83" s="1"/>
      <c r="HD83" s="1"/>
      <c r="HE83" s="1"/>
      <c r="HF83" s="1"/>
      <c r="HG83" s="1"/>
      <c r="HH83" s="1"/>
      <c r="HI83" s="1"/>
      <c r="HJ83" s="1"/>
      <c r="HK83" s="1"/>
      <c r="HL83" s="1"/>
      <c r="HM83" s="1"/>
      <c r="HN83" s="1"/>
      <c r="HO83" s="1"/>
      <c r="HP83" s="1"/>
      <c r="HQ83" s="1"/>
      <c r="HR83" s="1"/>
      <c r="HS83" s="1"/>
      <c r="HT83" s="1"/>
      <c r="HU83" s="1"/>
      <c r="HV83" s="1"/>
      <c r="HW83" s="1"/>
      <c r="HX83" s="1"/>
      <c r="HY83" s="1"/>
      <c r="HZ83" s="1"/>
      <c r="IA83" s="1"/>
      <c r="IB83" s="1"/>
      <c r="IC83" s="1"/>
      <c r="ID83" s="1"/>
      <c r="IE83" s="1"/>
      <c r="IF83" s="1"/>
      <c r="IG83" s="1"/>
      <c r="IH83" s="1"/>
      <c r="II83" s="1"/>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row>
    <row r="84" spans="1:303" s="5" customFormat="1" ht="171" x14ac:dyDescent="0.25">
      <c r="A84" s="351" t="s">
        <v>79</v>
      </c>
      <c r="B84" s="351" t="s">
        <v>80</v>
      </c>
      <c r="C84" s="351" t="s">
        <v>81</v>
      </c>
      <c r="D84" s="351" t="s">
        <v>82</v>
      </c>
      <c r="E84" s="351" t="s">
        <v>83</v>
      </c>
      <c r="F84" s="351" t="s">
        <v>84</v>
      </c>
      <c r="G84" s="351" t="s">
        <v>85</v>
      </c>
      <c r="H84" s="351" t="s">
        <v>626</v>
      </c>
      <c r="I84" s="356" t="s">
        <v>87</v>
      </c>
      <c r="J84" s="356" t="s">
        <v>152</v>
      </c>
      <c r="K84" s="376" t="s">
        <v>538</v>
      </c>
      <c r="L84" s="376" t="s">
        <v>539</v>
      </c>
      <c r="M84" s="357" t="s">
        <v>201</v>
      </c>
      <c r="N84" s="367" t="s">
        <v>91</v>
      </c>
      <c r="O84" s="367" t="s">
        <v>202</v>
      </c>
      <c r="P84" s="930">
        <v>39542136.277533107</v>
      </c>
      <c r="Q84" s="368" t="s">
        <v>543</v>
      </c>
      <c r="R84" s="368" t="s">
        <v>156</v>
      </c>
      <c r="S84" s="378">
        <v>1</v>
      </c>
      <c r="T84" s="369" t="s">
        <v>203</v>
      </c>
      <c r="U84" s="357" t="s">
        <v>204</v>
      </c>
      <c r="V84" s="357" t="s">
        <v>98</v>
      </c>
      <c r="W84" s="497" t="s">
        <v>205</v>
      </c>
      <c r="X84" s="432">
        <v>0</v>
      </c>
      <c r="Y84" s="432">
        <v>0</v>
      </c>
      <c r="Z84" s="432">
        <v>0</v>
      </c>
      <c r="AA84" s="444">
        <v>1</v>
      </c>
      <c r="AB84" s="525">
        <v>7.14</v>
      </c>
      <c r="AC84" s="413">
        <v>0.99009900990099009</v>
      </c>
      <c r="AD84" s="413">
        <v>0.38730157142857141</v>
      </c>
      <c r="AE84" s="413">
        <v>0.37727272727272726</v>
      </c>
      <c r="AF84" s="692">
        <f t="shared" si="57"/>
        <v>0</v>
      </c>
      <c r="AG84" s="693" t="s">
        <v>146</v>
      </c>
      <c r="AH84" s="698">
        <v>0</v>
      </c>
      <c r="AI84" s="693"/>
      <c r="AJ84" s="693"/>
      <c r="AK84" s="693"/>
      <c r="AL84" s="692">
        <f t="shared" si="37"/>
        <v>0</v>
      </c>
      <c r="AM84" s="697" t="s">
        <v>121</v>
      </c>
      <c r="AN84" s="693">
        <f t="shared" si="38"/>
        <v>0</v>
      </c>
      <c r="AO84" s="693">
        <f t="shared" si="39"/>
        <v>0</v>
      </c>
      <c r="AP84" s="693">
        <f t="shared" si="40"/>
        <v>0</v>
      </c>
      <c r="AQ84" s="693"/>
      <c r="AR84" s="401">
        <f t="shared" si="58"/>
        <v>0</v>
      </c>
      <c r="AS84" s="402" t="s">
        <v>146</v>
      </c>
      <c r="AT84" s="408">
        <v>0</v>
      </c>
      <c r="AU84" s="408"/>
      <c r="AV84" s="408"/>
      <c r="AW84" s="729"/>
      <c r="AX84" s="397">
        <f t="shared" si="41"/>
        <v>0</v>
      </c>
      <c r="AY84" s="400" t="s">
        <v>121</v>
      </c>
      <c r="AZ84" s="398">
        <f t="shared" si="42"/>
        <v>0</v>
      </c>
      <c r="BA84" s="398">
        <f t="shared" si="43"/>
        <v>0</v>
      </c>
      <c r="BB84" s="398">
        <f t="shared" si="44"/>
        <v>0</v>
      </c>
      <c r="BC84" s="15"/>
      <c r="BD84" s="14">
        <f t="shared" si="45"/>
        <v>0</v>
      </c>
      <c r="BE84" s="677" t="s">
        <v>146</v>
      </c>
      <c r="BF84" s="679">
        <v>0</v>
      </c>
      <c r="BG84" s="680" t="s">
        <v>646</v>
      </c>
      <c r="BH84" s="658"/>
      <c r="BI84" s="658" t="str">
        <f t="shared" si="63"/>
        <v>BAJO</v>
      </c>
      <c r="BJ84" s="681">
        <f t="shared" si="46"/>
        <v>0</v>
      </c>
      <c r="BK84" s="658" t="s">
        <v>149</v>
      </c>
      <c r="BL84" s="682">
        <f t="shared" si="64"/>
        <v>0</v>
      </c>
      <c r="BM84" s="682">
        <f t="shared" si="65"/>
        <v>0</v>
      </c>
      <c r="BN84" s="682">
        <f t="shared" si="66"/>
        <v>0</v>
      </c>
      <c r="BO84" s="658"/>
      <c r="BP84" s="853">
        <f t="shared" si="59"/>
        <v>1</v>
      </c>
      <c r="BQ84" s="854" t="s">
        <v>105</v>
      </c>
      <c r="BR84" s="873">
        <v>1</v>
      </c>
      <c r="BS84" s="874" t="s">
        <v>647</v>
      </c>
      <c r="BT84" s="872" t="s">
        <v>552</v>
      </c>
      <c r="BU84" s="905" t="str">
        <f t="shared" si="47"/>
        <v>ALTO</v>
      </c>
      <c r="BV84" s="875">
        <f t="shared" si="60"/>
        <v>1</v>
      </c>
      <c r="BW84" s="862" t="s">
        <v>648</v>
      </c>
      <c r="BX84" s="857">
        <f t="shared" si="67"/>
        <v>7.14</v>
      </c>
      <c r="BY84" s="857">
        <f t="shared" si="68"/>
        <v>0.99009900990099009</v>
      </c>
      <c r="BZ84" s="857">
        <f t="shared" si="69"/>
        <v>0.38730157142857141</v>
      </c>
      <c r="CA84" s="857">
        <f t="shared" si="70"/>
        <v>0.37727272727272726</v>
      </c>
      <c r="CB84" s="16">
        <f t="shared" si="71"/>
        <v>1</v>
      </c>
      <c r="CC84" s="16">
        <f t="shared" si="72"/>
        <v>0</v>
      </c>
      <c r="CD84" s="16">
        <f t="shared" si="61"/>
        <v>1</v>
      </c>
      <c r="CE84" s="16">
        <f t="shared" si="62"/>
        <v>1</v>
      </c>
      <c r="CF84" s="16" t="e">
        <f>SUM(#REF!/(CC84+CB84))</f>
        <v>#REF!</v>
      </c>
      <c r="CG84" s="17"/>
      <c r="CH84" s="17"/>
      <c r="CI84" s="17"/>
      <c r="CJ84" s="17"/>
      <c r="CK84" s="3" t="s">
        <v>165</v>
      </c>
      <c r="CL84" s="1"/>
      <c r="CM84" s="1"/>
      <c r="CN84" s="1"/>
      <c r="CO84" s="1"/>
      <c r="CP84" s="1"/>
      <c r="CQ84" s="1"/>
      <c r="CR84" s="1"/>
      <c r="CS84" s="1"/>
      <c r="CT84" s="1"/>
      <c r="CU84" s="1"/>
      <c r="CV84" s="346">
        <f t="shared" si="56"/>
        <v>1</v>
      </c>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c r="GF84" s="1"/>
      <c r="GG84" s="1"/>
      <c r="GH84" s="1"/>
      <c r="GI84" s="1"/>
      <c r="GJ84" s="1"/>
      <c r="GK84" s="1"/>
      <c r="GL84" s="1"/>
      <c r="GM84" s="1"/>
      <c r="GN84" s="1"/>
      <c r="GO84" s="1"/>
      <c r="GP84" s="1"/>
      <c r="GQ84" s="1"/>
      <c r="GR84" s="1"/>
      <c r="GS84" s="1"/>
      <c r="GT84" s="1"/>
      <c r="GU84" s="1"/>
      <c r="GV84" s="1"/>
      <c r="GW84" s="1"/>
      <c r="GX84" s="1"/>
      <c r="GY84" s="1"/>
      <c r="GZ84" s="1"/>
      <c r="HA84" s="1"/>
      <c r="HB84" s="1"/>
      <c r="HC84" s="1"/>
      <c r="HD84" s="1"/>
      <c r="HE84" s="1"/>
      <c r="HF84" s="1"/>
      <c r="HG84" s="1"/>
      <c r="HH84" s="1"/>
      <c r="HI84" s="1"/>
      <c r="HJ84" s="1"/>
      <c r="HK84" s="1"/>
      <c r="HL84" s="1"/>
      <c r="HM84" s="1"/>
      <c r="HN84" s="1"/>
      <c r="HO84" s="1"/>
      <c r="HP84" s="1"/>
      <c r="HQ84" s="1"/>
      <c r="HR84" s="1"/>
      <c r="HS84" s="1"/>
      <c r="HT84" s="1"/>
      <c r="HU84" s="1"/>
      <c r="HV84" s="1"/>
      <c r="HW84" s="1"/>
      <c r="HX84" s="1"/>
      <c r="HY84" s="1"/>
      <c r="HZ84" s="1"/>
      <c r="IA84" s="1"/>
      <c r="IB84" s="1"/>
      <c r="IC84" s="1"/>
      <c r="ID84" s="1"/>
      <c r="IE84" s="1"/>
      <c r="IF84" s="1"/>
      <c r="IG84" s="1"/>
      <c r="IH84" s="1"/>
      <c r="II84" s="1"/>
      <c r="IJ84" s="1"/>
      <c r="IK84" s="1"/>
      <c r="IL84" s="1"/>
      <c r="IM84" s="1"/>
      <c r="IN84" s="1"/>
      <c r="IO84" s="1"/>
      <c r="IP84" s="1"/>
      <c r="IQ84" s="1"/>
      <c r="IR84" s="1"/>
      <c r="IS84" s="1"/>
      <c r="IT84" s="1"/>
      <c r="IU84" s="1"/>
      <c r="IV84" s="1"/>
      <c r="IW84" s="1"/>
      <c r="IX84" s="1"/>
      <c r="IY84" s="1"/>
      <c r="IZ84" s="1"/>
      <c r="JA84" s="1"/>
      <c r="JB84" s="1"/>
      <c r="JC84" s="1"/>
      <c r="JD84" s="1"/>
      <c r="JE84" s="1"/>
      <c r="JF84" s="1"/>
      <c r="JG84" s="1"/>
      <c r="JH84" s="1"/>
      <c r="JI84" s="1"/>
      <c r="JJ84" s="1"/>
      <c r="JK84" s="1"/>
      <c r="JL84" s="1"/>
      <c r="JM84" s="1"/>
      <c r="JN84" s="1"/>
      <c r="JO84" s="1"/>
      <c r="JP84" s="1"/>
      <c r="JQ84" s="1"/>
      <c r="JR84" s="1"/>
      <c r="JS84" s="1"/>
      <c r="JT84" s="1"/>
      <c r="JU84" s="1"/>
      <c r="JV84" s="1"/>
      <c r="JW84" s="1"/>
      <c r="JX84" s="1"/>
      <c r="JY84" s="1"/>
      <c r="JZ84" s="1"/>
      <c r="KA84" s="1"/>
      <c r="KB84" s="1"/>
      <c r="KC84" s="1"/>
      <c r="KD84" s="1"/>
      <c r="KE84" s="1"/>
      <c r="KF84" s="1"/>
      <c r="KG84" s="1"/>
      <c r="KH84" s="1"/>
      <c r="KI84" s="1"/>
      <c r="KJ84" s="1"/>
      <c r="KK84" s="1"/>
      <c r="KL84" s="1"/>
      <c r="KM84" s="1"/>
      <c r="KN84" s="1"/>
      <c r="KO84" s="1"/>
      <c r="KP84" s="1"/>
      <c r="KQ84" s="1"/>
    </row>
    <row r="85" spans="1:303" s="5" customFormat="1" ht="242.25" x14ac:dyDescent="0.25">
      <c r="A85" s="350" t="s">
        <v>79</v>
      </c>
      <c r="B85" s="350" t="s">
        <v>80</v>
      </c>
      <c r="C85" s="350" t="s">
        <v>81</v>
      </c>
      <c r="D85" s="350" t="s">
        <v>82</v>
      </c>
      <c r="E85" s="350" t="s">
        <v>83</v>
      </c>
      <c r="F85" s="350" t="s">
        <v>84</v>
      </c>
      <c r="G85" s="350" t="s">
        <v>85</v>
      </c>
      <c r="H85" s="350" t="s">
        <v>626</v>
      </c>
      <c r="I85" s="350" t="s">
        <v>649</v>
      </c>
      <c r="J85" s="350" t="s">
        <v>650</v>
      </c>
      <c r="K85" s="364" t="s">
        <v>651</v>
      </c>
      <c r="L85" s="364" t="s">
        <v>652</v>
      </c>
      <c r="M85" s="456" t="s">
        <v>653</v>
      </c>
      <c r="N85" s="361" t="s">
        <v>444</v>
      </c>
      <c r="O85" s="361" t="s">
        <v>445</v>
      </c>
      <c r="P85" s="922">
        <v>39542136.277533107</v>
      </c>
      <c r="Q85" s="364" t="s">
        <v>654</v>
      </c>
      <c r="R85" s="364" t="s">
        <v>213</v>
      </c>
      <c r="S85" s="379">
        <v>1</v>
      </c>
      <c r="T85" s="350" t="s">
        <v>655</v>
      </c>
      <c r="U85" s="350" t="s">
        <v>656</v>
      </c>
      <c r="V85" s="364" t="s">
        <v>98</v>
      </c>
      <c r="W85" s="366" t="s">
        <v>657</v>
      </c>
      <c r="X85" s="436"/>
      <c r="Y85" s="436">
        <v>0.5</v>
      </c>
      <c r="Z85" s="436">
        <v>0.25</v>
      </c>
      <c r="AA85" s="515">
        <v>0.25</v>
      </c>
      <c r="AB85" s="525">
        <v>8.34</v>
      </c>
      <c r="AC85" s="413">
        <v>1.3333333333333333</v>
      </c>
      <c r="AD85" s="413">
        <v>0.47037033333333333</v>
      </c>
      <c r="AE85" s="413">
        <v>0.4</v>
      </c>
      <c r="AF85" s="692">
        <f t="shared" si="57"/>
        <v>0</v>
      </c>
      <c r="AG85" s="693" t="s">
        <v>146</v>
      </c>
      <c r="AH85" s="698">
        <v>0</v>
      </c>
      <c r="AI85" s="695"/>
      <c r="AJ85" s="693"/>
      <c r="AK85" s="693"/>
      <c r="AL85" s="692">
        <f t="shared" si="37"/>
        <v>0</v>
      </c>
      <c r="AM85" s="697" t="s">
        <v>121</v>
      </c>
      <c r="AN85" s="693">
        <f t="shared" si="38"/>
        <v>0</v>
      </c>
      <c r="AO85" s="693">
        <f t="shared" si="39"/>
        <v>0</v>
      </c>
      <c r="AP85" s="693">
        <f t="shared" si="40"/>
        <v>0</v>
      </c>
      <c r="AQ85" s="693"/>
      <c r="AR85" s="401">
        <f t="shared" si="58"/>
        <v>0.5</v>
      </c>
      <c r="AS85" s="402" t="s">
        <v>100</v>
      </c>
      <c r="AT85" s="408">
        <v>0</v>
      </c>
      <c r="AU85" s="406" t="s">
        <v>658</v>
      </c>
      <c r="AV85" s="406" t="s">
        <v>659</v>
      </c>
      <c r="AW85" s="729" t="str">
        <f t="shared" si="51"/>
        <v>BAJO</v>
      </c>
      <c r="AX85" s="397">
        <f t="shared" si="41"/>
        <v>0</v>
      </c>
      <c r="AY85" s="400" t="s">
        <v>660</v>
      </c>
      <c r="AZ85" s="398">
        <f t="shared" si="42"/>
        <v>0</v>
      </c>
      <c r="BA85" s="398">
        <f t="shared" si="43"/>
        <v>0</v>
      </c>
      <c r="BB85" s="398">
        <f t="shared" si="44"/>
        <v>0</v>
      </c>
      <c r="BC85" s="15"/>
      <c r="BD85" s="14">
        <f t="shared" si="45"/>
        <v>0.25</v>
      </c>
      <c r="BE85" s="677" t="s">
        <v>100</v>
      </c>
      <c r="BF85" s="758">
        <v>0</v>
      </c>
      <c r="BG85" s="647" t="s">
        <v>661</v>
      </c>
      <c r="BH85" s="658"/>
      <c r="BI85" s="658" t="str">
        <f t="shared" si="63"/>
        <v>BAJO</v>
      </c>
      <c r="BJ85" s="681">
        <f t="shared" si="46"/>
        <v>0</v>
      </c>
      <c r="BK85" s="647" t="s">
        <v>662</v>
      </c>
      <c r="BL85" s="682">
        <f t="shared" si="64"/>
        <v>0</v>
      </c>
      <c r="BM85" s="682">
        <f t="shared" si="65"/>
        <v>0</v>
      </c>
      <c r="BN85" s="682">
        <f t="shared" si="66"/>
        <v>0</v>
      </c>
      <c r="BO85" s="658"/>
      <c r="BP85" s="853">
        <f t="shared" si="59"/>
        <v>0.25</v>
      </c>
      <c r="BQ85" s="854" t="s">
        <v>105</v>
      </c>
      <c r="BR85" s="861">
        <f>0.5/100</f>
        <v>5.0000000000000001E-3</v>
      </c>
      <c r="BS85" s="858" t="s">
        <v>663</v>
      </c>
      <c r="BT85" s="857" t="s">
        <v>664</v>
      </c>
      <c r="BU85" s="907" t="str">
        <f t="shared" si="47"/>
        <v>BAJO</v>
      </c>
      <c r="BV85" s="875">
        <f t="shared" si="60"/>
        <v>1.25E-3</v>
      </c>
      <c r="BW85" s="874" t="s">
        <v>665</v>
      </c>
      <c r="BX85" s="857">
        <f t="shared" si="67"/>
        <v>1.0425E-2</v>
      </c>
      <c r="BY85" s="857">
        <f t="shared" si="68"/>
        <v>1.6666666666666666E-3</v>
      </c>
      <c r="BZ85" s="857">
        <f t="shared" si="69"/>
        <v>5.8796291666666665E-4</v>
      </c>
      <c r="CA85" s="857">
        <f t="shared" si="70"/>
        <v>5.0000000000000001E-4</v>
      </c>
      <c r="CB85" s="16">
        <f t="shared" si="71"/>
        <v>0.5</v>
      </c>
      <c r="CC85" s="16">
        <f t="shared" si="72"/>
        <v>0.5</v>
      </c>
      <c r="CD85" s="16">
        <f t="shared" si="61"/>
        <v>1</v>
      </c>
      <c r="CE85" s="16">
        <f t="shared" si="62"/>
        <v>1.25E-3</v>
      </c>
      <c r="CF85" s="16" t="e">
        <f>SUM(#REF!/(CC85+CB85))</f>
        <v>#REF!</v>
      </c>
      <c r="CG85" s="17"/>
      <c r="CH85" s="17"/>
      <c r="CI85" s="17"/>
      <c r="CJ85" s="17"/>
      <c r="CK85" s="1"/>
      <c r="CL85" s="1"/>
      <c r="CM85" s="1"/>
      <c r="CN85" s="1"/>
      <c r="CO85" s="1"/>
      <c r="CP85" s="1"/>
      <c r="CQ85" s="1"/>
      <c r="CR85" s="1"/>
      <c r="CS85" s="1"/>
      <c r="CT85" s="1"/>
      <c r="CU85" s="1"/>
      <c r="CV85" s="346">
        <f t="shared" si="56"/>
        <v>1</v>
      </c>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c r="GF85" s="1"/>
      <c r="GG85" s="1"/>
      <c r="GH85" s="1"/>
      <c r="GI85" s="1"/>
      <c r="GJ85" s="1"/>
      <c r="GK85" s="1"/>
      <c r="GL85" s="1"/>
      <c r="GM85" s="1"/>
      <c r="GN85" s="1"/>
      <c r="GO85" s="1"/>
      <c r="GP85" s="1"/>
      <c r="GQ85" s="1"/>
      <c r="GR85" s="1"/>
      <c r="GS85" s="1"/>
      <c r="GT85" s="1"/>
      <c r="GU85" s="1"/>
      <c r="GV85" s="1"/>
      <c r="GW85" s="1"/>
      <c r="GX85" s="1"/>
      <c r="GY85" s="1"/>
      <c r="GZ85" s="1"/>
      <c r="HA85" s="1"/>
      <c r="HB85" s="1"/>
      <c r="HC85" s="1"/>
      <c r="HD85" s="1"/>
      <c r="HE85" s="1"/>
      <c r="HF85" s="1"/>
      <c r="HG85" s="1"/>
      <c r="HH85" s="1"/>
      <c r="HI85" s="1"/>
      <c r="HJ85" s="1"/>
      <c r="HK85" s="1"/>
      <c r="HL85" s="1"/>
      <c r="HM85" s="1"/>
      <c r="HN85" s="1"/>
      <c r="HO85" s="1"/>
      <c r="HP85" s="1"/>
      <c r="HQ85" s="1"/>
      <c r="HR85" s="1"/>
      <c r="HS85" s="1"/>
      <c r="HT85" s="1"/>
      <c r="HU85" s="1"/>
      <c r="HV85" s="1"/>
      <c r="HW85" s="1"/>
      <c r="HX85" s="1"/>
      <c r="HY85" s="1"/>
      <c r="HZ85" s="1"/>
      <c r="IA85" s="1"/>
      <c r="IB85" s="1"/>
      <c r="IC85" s="1"/>
      <c r="ID85" s="1"/>
      <c r="IE85" s="1"/>
      <c r="IF85" s="1"/>
      <c r="IG85" s="1"/>
      <c r="IH85" s="1"/>
      <c r="II85" s="1"/>
      <c r="IJ85" s="1"/>
      <c r="IK85" s="1"/>
      <c r="IL85" s="1"/>
      <c r="IM85" s="1"/>
      <c r="IN85" s="1"/>
      <c r="IO85" s="1"/>
      <c r="IP85" s="1"/>
      <c r="IQ85" s="1"/>
      <c r="IR85" s="1"/>
      <c r="IS85" s="1"/>
      <c r="IT85" s="1"/>
      <c r="IU85" s="1"/>
      <c r="IV85" s="1"/>
      <c r="IW85" s="1"/>
      <c r="IX85" s="1"/>
      <c r="IY85" s="1"/>
      <c r="IZ85" s="1"/>
      <c r="JA85" s="1"/>
      <c r="JB85" s="1"/>
      <c r="JC85" s="1"/>
      <c r="JD85" s="1"/>
      <c r="JE85" s="1"/>
      <c r="JF85" s="1"/>
      <c r="JG85" s="1"/>
      <c r="JH85" s="1"/>
      <c r="JI85" s="1"/>
      <c r="JJ85" s="1"/>
      <c r="JK85" s="1"/>
      <c r="JL85" s="1"/>
      <c r="JM85" s="1"/>
      <c r="JN85" s="1"/>
      <c r="JO85" s="1"/>
      <c r="JP85" s="1"/>
      <c r="JQ85" s="1"/>
      <c r="JR85" s="1"/>
      <c r="JS85" s="1"/>
      <c r="JT85" s="1"/>
      <c r="JU85" s="1"/>
      <c r="JV85" s="1"/>
      <c r="JW85" s="1"/>
      <c r="JX85" s="1"/>
      <c r="JY85" s="1"/>
      <c r="JZ85" s="1"/>
      <c r="KA85" s="1"/>
      <c r="KB85" s="1"/>
      <c r="KC85" s="1"/>
      <c r="KD85" s="1"/>
      <c r="KE85" s="1"/>
      <c r="KF85" s="1"/>
      <c r="KG85" s="1"/>
      <c r="KH85" s="1"/>
      <c r="KI85" s="1"/>
      <c r="KJ85" s="1"/>
      <c r="KK85" s="1"/>
      <c r="KL85" s="1"/>
      <c r="KM85" s="1"/>
      <c r="KN85" s="1"/>
      <c r="KO85" s="1"/>
      <c r="KP85" s="1"/>
      <c r="KQ85" s="1"/>
    </row>
    <row r="86" spans="1:303" s="5" customFormat="1" ht="242.25" x14ac:dyDescent="0.25">
      <c r="A86" s="353" t="s">
        <v>79</v>
      </c>
      <c r="B86" s="353" t="s">
        <v>80</v>
      </c>
      <c r="C86" s="353" t="s">
        <v>81</v>
      </c>
      <c r="D86" s="353" t="s">
        <v>82</v>
      </c>
      <c r="E86" s="353" t="s">
        <v>83</v>
      </c>
      <c r="F86" s="353" t="s">
        <v>84</v>
      </c>
      <c r="G86" s="353" t="s">
        <v>85</v>
      </c>
      <c r="H86" s="350" t="s">
        <v>626</v>
      </c>
      <c r="I86" s="350" t="s">
        <v>649</v>
      </c>
      <c r="J86" s="350" t="s">
        <v>650</v>
      </c>
      <c r="K86" s="364" t="s">
        <v>651</v>
      </c>
      <c r="L86" s="380" t="s">
        <v>652</v>
      </c>
      <c r="M86" s="845" t="s">
        <v>666</v>
      </c>
      <c r="N86" s="361" t="s">
        <v>444</v>
      </c>
      <c r="O86" s="361" t="s">
        <v>445</v>
      </c>
      <c r="P86" s="922">
        <v>39542136.277533107</v>
      </c>
      <c r="Q86" s="364" t="s">
        <v>654</v>
      </c>
      <c r="R86" s="364" t="s">
        <v>213</v>
      </c>
      <c r="S86" s="381">
        <v>1</v>
      </c>
      <c r="T86" s="353" t="s">
        <v>667</v>
      </c>
      <c r="U86" s="353" t="s">
        <v>668</v>
      </c>
      <c r="V86" s="380" t="s">
        <v>98</v>
      </c>
      <c r="W86" s="503" t="s">
        <v>669</v>
      </c>
      <c r="X86" s="439">
        <v>0.25</v>
      </c>
      <c r="Y86" s="439">
        <v>0.25</v>
      </c>
      <c r="Z86" s="439">
        <v>0.25</v>
      </c>
      <c r="AA86" s="440">
        <v>0.25</v>
      </c>
      <c r="AB86" s="525">
        <v>8.34</v>
      </c>
      <c r="AC86" s="413">
        <v>1.3333333333333333</v>
      </c>
      <c r="AD86" s="413">
        <v>0.47037033333333333</v>
      </c>
      <c r="AE86" s="413">
        <v>0.4</v>
      </c>
      <c r="AF86" s="692">
        <f t="shared" si="57"/>
        <v>0.25</v>
      </c>
      <c r="AG86" s="693" t="s">
        <v>100</v>
      </c>
      <c r="AH86" s="698">
        <f>205/217</f>
        <v>0.9447004608294931</v>
      </c>
      <c r="AI86" s="697" t="s">
        <v>670</v>
      </c>
      <c r="AJ86" s="697" t="s">
        <v>671</v>
      </c>
      <c r="AK86" s="693" t="str">
        <f>+IF(AND(AH86&gt;=0%,AH86&lt;=60%),"BAJO",IF(AND(AH86&gt;=61%,AH86&lt;=80%),"MEDIO","ALTO"))</f>
        <v>ALTO</v>
      </c>
      <c r="AL86" s="692">
        <f t="shared" si="37"/>
        <v>0.23617511520737328</v>
      </c>
      <c r="AM86" s="695" t="s">
        <v>672</v>
      </c>
      <c r="AN86" s="693">
        <f t="shared" si="38"/>
        <v>1.969700460829493</v>
      </c>
      <c r="AO86" s="693">
        <f t="shared" si="39"/>
        <v>0.31490015360983103</v>
      </c>
      <c r="AP86" s="693">
        <f t="shared" si="40"/>
        <v>0.11108976766513057</v>
      </c>
      <c r="AQ86" s="693"/>
      <c r="AR86" s="401">
        <f t="shared" si="58"/>
        <v>0.25</v>
      </c>
      <c r="AS86" s="402" t="s">
        <v>100</v>
      </c>
      <c r="AT86" s="408">
        <f>157/204</f>
        <v>0.76960784313725494</v>
      </c>
      <c r="AU86" s="406" t="s">
        <v>673</v>
      </c>
      <c r="AV86" s="406" t="s">
        <v>674</v>
      </c>
      <c r="AW86" s="729" t="str">
        <f t="shared" si="51"/>
        <v>MEDIO</v>
      </c>
      <c r="AX86" s="397">
        <f t="shared" si="41"/>
        <v>0.19240196078431374</v>
      </c>
      <c r="AY86" s="400" t="s">
        <v>675</v>
      </c>
      <c r="AZ86" s="398">
        <f t="shared" si="42"/>
        <v>1.6046323529411766</v>
      </c>
      <c r="BA86" s="398">
        <f t="shared" si="43"/>
        <v>0.25653594771241828</v>
      </c>
      <c r="BB86" s="398">
        <f t="shared" si="44"/>
        <v>9.0500174428104582E-2</v>
      </c>
      <c r="BC86" s="15"/>
      <c r="BD86" s="14">
        <f t="shared" si="45"/>
        <v>0.25</v>
      </c>
      <c r="BE86" s="677" t="s">
        <v>100</v>
      </c>
      <c r="BF86" s="682">
        <f>111/132</f>
        <v>0.84090909090909094</v>
      </c>
      <c r="BG86" s="647" t="s">
        <v>676</v>
      </c>
      <c r="BH86" s="658"/>
      <c r="BI86" s="658" t="str">
        <f t="shared" si="63"/>
        <v>ALTO</v>
      </c>
      <c r="BJ86" s="681">
        <f t="shared" si="46"/>
        <v>0.21022727272727273</v>
      </c>
      <c r="BK86" s="647" t="s">
        <v>677</v>
      </c>
      <c r="BL86" s="682">
        <f t="shared" si="64"/>
        <v>2.5207107041639417E-2</v>
      </c>
      <c r="BM86" s="682">
        <f t="shared" si="65"/>
        <v>0.15767045454545456</v>
      </c>
      <c r="BN86" s="682">
        <f t="shared" si="66"/>
        <v>0.44693990634458819</v>
      </c>
      <c r="BO86" s="658"/>
      <c r="BP86" s="853">
        <f t="shared" si="59"/>
        <v>0.25</v>
      </c>
      <c r="BQ86" s="854" t="s">
        <v>105</v>
      </c>
      <c r="BR86" s="861">
        <f>92/100</f>
        <v>0.92</v>
      </c>
      <c r="BS86" s="858" t="s">
        <v>678</v>
      </c>
      <c r="BT86" s="857" t="s">
        <v>679</v>
      </c>
      <c r="BU86" s="905" t="str">
        <f t="shared" si="47"/>
        <v>ALTO</v>
      </c>
      <c r="BV86" s="875">
        <f t="shared" si="60"/>
        <v>0.23</v>
      </c>
      <c r="BW86" s="874" t="s">
        <v>680</v>
      </c>
      <c r="BX86" s="857">
        <f t="shared" si="67"/>
        <v>1.9182000000000001</v>
      </c>
      <c r="BY86" s="857">
        <f t="shared" si="68"/>
        <v>0.30666666666666664</v>
      </c>
      <c r="BZ86" s="857">
        <f t="shared" si="69"/>
        <v>0.10818517666666667</v>
      </c>
      <c r="CA86" s="857">
        <f t="shared" si="70"/>
        <v>9.2000000000000012E-2</v>
      </c>
      <c r="CB86" s="16">
        <f t="shared" si="71"/>
        <v>0.5</v>
      </c>
      <c r="CC86" s="16">
        <f t="shared" si="72"/>
        <v>0.5</v>
      </c>
      <c r="CD86" s="16">
        <f t="shared" si="61"/>
        <v>1</v>
      </c>
      <c r="CE86" s="16">
        <f t="shared" si="62"/>
        <v>0.86880434871895973</v>
      </c>
      <c r="CF86" s="16" t="e">
        <f>SUM(#REF!/(CC86+CB86))</f>
        <v>#REF!</v>
      </c>
      <c r="CG86" s="17"/>
      <c r="CH86" s="17"/>
      <c r="CI86" s="17"/>
      <c r="CJ86" s="17"/>
      <c r="CK86" s="1"/>
      <c r="CL86" s="1"/>
      <c r="CM86" s="1"/>
      <c r="CN86" s="1"/>
      <c r="CO86" s="1"/>
      <c r="CP86" s="1"/>
      <c r="CQ86" s="1"/>
      <c r="CR86" s="1"/>
      <c r="CS86" s="1"/>
      <c r="CT86" s="1"/>
      <c r="CU86" s="1"/>
      <c r="CV86" s="346">
        <f t="shared" si="56"/>
        <v>1</v>
      </c>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c r="GF86" s="1"/>
      <c r="GG86" s="1"/>
      <c r="GH86" s="1"/>
      <c r="GI86" s="1"/>
      <c r="GJ86" s="1"/>
      <c r="GK86" s="1"/>
      <c r="GL86" s="1"/>
      <c r="GM86" s="1"/>
      <c r="GN86" s="1"/>
      <c r="GO86" s="1"/>
      <c r="GP86" s="1"/>
      <c r="GQ86" s="1"/>
      <c r="GR86" s="1"/>
      <c r="GS86" s="1"/>
      <c r="GT86" s="1"/>
      <c r="GU86" s="1"/>
      <c r="GV86" s="1"/>
      <c r="GW86" s="1"/>
      <c r="GX86" s="1"/>
      <c r="GY86" s="1"/>
      <c r="GZ86" s="1"/>
      <c r="HA86" s="1"/>
      <c r="HB86" s="1"/>
      <c r="HC86" s="1"/>
      <c r="HD86" s="1"/>
      <c r="HE86" s="1"/>
      <c r="HF86" s="1"/>
      <c r="HG86" s="1"/>
      <c r="HH86" s="1"/>
      <c r="HI86" s="1"/>
      <c r="HJ86" s="1"/>
      <c r="HK86" s="1"/>
      <c r="HL86" s="1"/>
      <c r="HM86" s="1"/>
      <c r="HN86" s="1"/>
      <c r="HO86" s="1"/>
      <c r="HP86" s="1"/>
      <c r="HQ86" s="1"/>
      <c r="HR86" s="1"/>
      <c r="HS86" s="1"/>
      <c r="HT86" s="1"/>
      <c r="HU86" s="1"/>
      <c r="HV86" s="1"/>
      <c r="HW86" s="1"/>
      <c r="HX86" s="1"/>
      <c r="HY86" s="1"/>
      <c r="HZ86" s="1"/>
      <c r="IA86" s="1"/>
      <c r="IB86" s="1"/>
      <c r="IC86" s="1"/>
      <c r="ID86" s="1"/>
      <c r="IE86" s="1"/>
      <c r="IF86" s="1"/>
      <c r="IG86" s="1"/>
      <c r="IH86" s="1"/>
      <c r="II86" s="1"/>
      <c r="IJ86" s="1"/>
      <c r="IK86" s="1"/>
      <c r="IL86" s="1"/>
      <c r="IM86" s="1"/>
      <c r="IN86" s="1"/>
      <c r="IO86" s="1"/>
      <c r="IP86" s="1"/>
      <c r="IQ86" s="1"/>
      <c r="IR86" s="1"/>
      <c r="IS86" s="1"/>
      <c r="IT86" s="1"/>
      <c r="IU86" s="1"/>
      <c r="IV86" s="1"/>
      <c r="IW86" s="1"/>
      <c r="IX86" s="1"/>
      <c r="IY86" s="1"/>
      <c r="IZ86" s="1"/>
      <c r="JA86" s="1"/>
      <c r="JB86" s="1"/>
      <c r="JC86" s="1"/>
      <c r="JD86" s="1"/>
      <c r="JE86" s="1"/>
      <c r="JF86" s="1"/>
      <c r="JG86" s="1"/>
      <c r="JH86" s="1"/>
      <c r="JI86" s="1"/>
      <c r="JJ86" s="1"/>
      <c r="JK86" s="1"/>
      <c r="JL86" s="1"/>
      <c r="JM86" s="1"/>
      <c r="JN86" s="1"/>
      <c r="JO86" s="1"/>
      <c r="JP86" s="1"/>
      <c r="JQ86" s="1"/>
      <c r="JR86" s="1"/>
      <c r="JS86" s="1"/>
      <c r="JT86" s="1"/>
      <c r="JU86" s="1"/>
      <c r="JV86" s="1"/>
      <c r="JW86" s="1"/>
      <c r="JX86" s="1"/>
      <c r="JY86" s="1"/>
      <c r="JZ86" s="1"/>
      <c r="KA86" s="1"/>
      <c r="KB86" s="1"/>
      <c r="KC86" s="1"/>
      <c r="KD86" s="1"/>
      <c r="KE86" s="1"/>
      <c r="KF86" s="1"/>
      <c r="KG86" s="1"/>
      <c r="KH86" s="1"/>
      <c r="KI86" s="1"/>
      <c r="KJ86" s="1"/>
      <c r="KK86" s="1"/>
      <c r="KL86" s="1"/>
      <c r="KM86" s="1"/>
      <c r="KN86" s="1"/>
      <c r="KO86" s="1"/>
      <c r="KP86" s="1"/>
      <c r="KQ86" s="1"/>
    </row>
    <row r="87" spans="1:303" s="5" customFormat="1" ht="210" x14ac:dyDescent="0.25">
      <c r="A87" s="354" t="s">
        <v>79</v>
      </c>
      <c r="B87" s="354" t="s">
        <v>80</v>
      </c>
      <c r="C87" s="354" t="s">
        <v>81</v>
      </c>
      <c r="D87" s="354" t="s">
        <v>82</v>
      </c>
      <c r="E87" s="354" t="s">
        <v>83</v>
      </c>
      <c r="F87" s="354" t="s">
        <v>84</v>
      </c>
      <c r="G87" s="354" t="s">
        <v>85</v>
      </c>
      <c r="H87" s="909" t="s">
        <v>640</v>
      </c>
      <c r="I87" s="909" t="s">
        <v>681</v>
      </c>
      <c r="J87" s="12" t="s">
        <v>682</v>
      </c>
      <c r="K87" s="364" t="s">
        <v>651</v>
      </c>
      <c r="L87" s="348" t="s">
        <v>652</v>
      </c>
      <c r="M87" s="686" t="s">
        <v>683</v>
      </c>
      <c r="N87" s="361" t="s">
        <v>444</v>
      </c>
      <c r="O87" s="361" t="s">
        <v>445</v>
      </c>
      <c r="P87" s="922">
        <v>39542136.277533107</v>
      </c>
      <c r="Q87" s="364" t="s">
        <v>654</v>
      </c>
      <c r="R87" s="364" t="s">
        <v>213</v>
      </c>
      <c r="S87" s="20">
        <v>1</v>
      </c>
      <c r="T87" s="348" t="s">
        <v>684</v>
      </c>
      <c r="U87" s="355" t="s">
        <v>685</v>
      </c>
      <c r="V87" s="348" t="s">
        <v>98</v>
      </c>
      <c r="W87" s="355" t="s">
        <v>686</v>
      </c>
      <c r="X87" s="430">
        <v>0.25</v>
      </c>
      <c r="Y87" s="430">
        <v>0.25</v>
      </c>
      <c r="Z87" s="430">
        <v>0.25</v>
      </c>
      <c r="AA87" s="431">
        <v>0.25</v>
      </c>
      <c r="AB87" s="525">
        <v>8.34</v>
      </c>
      <c r="AC87" s="413">
        <v>1.3333333333333333</v>
      </c>
      <c r="AD87" s="413">
        <v>0.47037033333333333</v>
      </c>
      <c r="AE87" s="413">
        <v>0.36666666666666664</v>
      </c>
      <c r="AF87" s="692">
        <f t="shared" si="57"/>
        <v>0.25</v>
      </c>
      <c r="AG87" s="693" t="s">
        <v>100</v>
      </c>
      <c r="AH87" s="698">
        <f>4/8</f>
        <v>0.5</v>
      </c>
      <c r="AI87" s="705" t="s">
        <v>687</v>
      </c>
      <c r="AJ87" s="697"/>
      <c r="AK87" s="693" t="str">
        <f>+IF(AND(AH87&gt;=0%,AH87&lt;=60%),"BAJO",IF(AND(AH87&gt;=61%,AH87&lt;=80%),"MEDIO","ALTO"))</f>
        <v>BAJO</v>
      </c>
      <c r="AL87" s="692">
        <f t="shared" si="37"/>
        <v>0.125</v>
      </c>
      <c r="AM87" s="697" t="s">
        <v>688</v>
      </c>
      <c r="AN87" s="693">
        <f t="shared" si="38"/>
        <v>1.0425</v>
      </c>
      <c r="AO87" s="693">
        <f t="shared" si="39"/>
        <v>0.16666666666666666</v>
      </c>
      <c r="AP87" s="693">
        <f t="shared" si="40"/>
        <v>5.8796291666666667E-2</v>
      </c>
      <c r="AQ87" s="693"/>
      <c r="AR87" s="401">
        <f t="shared" si="58"/>
        <v>0.25</v>
      </c>
      <c r="AS87" s="402" t="s">
        <v>100</v>
      </c>
      <c r="AT87" s="408">
        <f>3/4</f>
        <v>0.75</v>
      </c>
      <c r="AU87" s="406" t="s">
        <v>689</v>
      </c>
      <c r="AV87" s="404"/>
      <c r="AW87" s="729" t="str">
        <f t="shared" si="51"/>
        <v>MEDIO</v>
      </c>
      <c r="AX87" s="397">
        <f t="shared" si="41"/>
        <v>0.1875</v>
      </c>
      <c r="AY87" s="400" t="s">
        <v>690</v>
      </c>
      <c r="AZ87" s="398">
        <f t="shared" si="42"/>
        <v>1.56375</v>
      </c>
      <c r="BA87" s="398">
        <f t="shared" si="43"/>
        <v>0.25</v>
      </c>
      <c r="BB87" s="398">
        <f t="shared" si="44"/>
        <v>8.81944375E-2</v>
      </c>
      <c r="BC87" s="15"/>
      <c r="BD87" s="14">
        <f t="shared" si="45"/>
        <v>0.25</v>
      </c>
      <c r="BE87" s="677" t="s">
        <v>220</v>
      </c>
      <c r="BF87" s="682">
        <f>1/1</f>
        <v>1</v>
      </c>
      <c r="BG87" s="647" t="s">
        <v>691</v>
      </c>
      <c r="BH87" s="658" t="s">
        <v>692</v>
      </c>
      <c r="BI87" s="658" t="str">
        <f t="shared" si="63"/>
        <v>ALTO</v>
      </c>
      <c r="BJ87" s="681">
        <f t="shared" si="46"/>
        <v>0.25</v>
      </c>
      <c r="BK87" s="647" t="s">
        <v>693</v>
      </c>
      <c r="BL87" s="682">
        <f t="shared" si="64"/>
        <v>2.9976019184652279E-2</v>
      </c>
      <c r="BM87" s="682">
        <f t="shared" si="65"/>
        <v>0.1875</v>
      </c>
      <c r="BN87" s="682">
        <f t="shared" si="66"/>
        <v>0.53149610484221299</v>
      </c>
      <c r="BO87" s="658"/>
      <c r="BP87" s="853">
        <f t="shared" si="59"/>
        <v>0.25</v>
      </c>
      <c r="BQ87" s="854" t="s">
        <v>105</v>
      </c>
      <c r="BR87" s="861">
        <f>50/100</f>
        <v>0.5</v>
      </c>
      <c r="BS87" s="858" t="s">
        <v>694</v>
      </c>
      <c r="BT87" s="857" t="s">
        <v>695</v>
      </c>
      <c r="BU87" s="907" t="str">
        <f t="shared" si="47"/>
        <v>BAJO</v>
      </c>
      <c r="BV87" s="875">
        <f t="shared" si="60"/>
        <v>0.125</v>
      </c>
      <c r="BW87" s="874" t="s">
        <v>696</v>
      </c>
      <c r="BX87" s="857">
        <f t="shared" si="67"/>
        <v>1.0425</v>
      </c>
      <c r="BY87" s="857">
        <f t="shared" si="68"/>
        <v>0.16666666666666666</v>
      </c>
      <c r="BZ87" s="857">
        <f t="shared" si="69"/>
        <v>5.8796291666666667E-2</v>
      </c>
      <c r="CA87" s="857">
        <f t="shared" si="70"/>
        <v>4.583333333333333E-2</v>
      </c>
      <c r="CB87" s="16">
        <f t="shared" si="71"/>
        <v>0.5</v>
      </c>
      <c r="CC87" s="16">
        <f t="shared" si="72"/>
        <v>0.5</v>
      </c>
      <c r="CD87" s="16">
        <f t="shared" si="61"/>
        <v>1</v>
      </c>
      <c r="CE87" s="16">
        <f t="shared" si="62"/>
        <v>0.6875</v>
      </c>
      <c r="CF87" s="16" t="e">
        <f>SUM(#REF!/(CC87+CB87))</f>
        <v>#REF!</v>
      </c>
      <c r="CG87" s="17"/>
      <c r="CH87" s="17"/>
      <c r="CI87" s="17"/>
      <c r="CJ87" s="17"/>
      <c r="CK87" s="1"/>
      <c r="CL87" s="1"/>
      <c r="CM87" s="1"/>
      <c r="CN87" s="1"/>
      <c r="CO87" s="1"/>
      <c r="CP87" s="1"/>
      <c r="CQ87" s="1"/>
      <c r="CR87" s="1"/>
      <c r="CS87" s="1"/>
      <c r="CT87" s="1"/>
      <c r="CU87" s="1"/>
      <c r="CV87" s="346">
        <f t="shared" si="56"/>
        <v>1</v>
      </c>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c r="GF87" s="1"/>
      <c r="GG87" s="1"/>
      <c r="GH87" s="1"/>
      <c r="GI87" s="1"/>
      <c r="GJ87" s="1"/>
      <c r="GK87" s="1"/>
      <c r="GL87" s="1"/>
      <c r="GM87" s="1"/>
      <c r="GN87" s="1"/>
      <c r="GO87" s="1"/>
      <c r="GP87" s="1"/>
      <c r="GQ87" s="1"/>
      <c r="GR87" s="1"/>
      <c r="GS87" s="1"/>
      <c r="GT87" s="1"/>
      <c r="GU87" s="1"/>
      <c r="GV87" s="1"/>
      <c r="GW87" s="1"/>
      <c r="GX87" s="1"/>
      <c r="GY87" s="1"/>
      <c r="GZ87" s="1"/>
      <c r="HA87" s="1"/>
      <c r="HB87" s="1"/>
      <c r="HC87" s="1"/>
      <c r="HD87" s="1"/>
      <c r="HE87" s="1"/>
      <c r="HF87" s="1"/>
      <c r="HG87" s="1"/>
      <c r="HH87" s="1"/>
      <c r="HI87" s="1"/>
      <c r="HJ87" s="1"/>
      <c r="HK87" s="1"/>
      <c r="HL87" s="1"/>
      <c r="HM87" s="1"/>
      <c r="HN87" s="1"/>
      <c r="HO87" s="1"/>
      <c r="HP87" s="1"/>
      <c r="HQ87" s="1"/>
      <c r="HR87" s="1"/>
      <c r="HS87" s="1"/>
      <c r="HT87" s="1"/>
      <c r="HU87" s="1"/>
      <c r="HV87" s="1"/>
      <c r="HW87" s="1"/>
      <c r="HX87" s="1"/>
      <c r="HY87" s="1"/>
      <c r="HZ87" s="1"/>
      <c r="IA87" s="1"/>
      <c r="IB87" s="1"/>
      <c r="IC87" s="1"/>
      <c r="ID87" s="1"/>
      <c r="IE87" s="1"/>
      <c r="IF87" s="1"/>
      <c r="IG87" s="1"/>
      <c r="IH87" s="1"/>
      <c r="II87" s="1"/>
      <c r="IJ87" s="1"/>
      <c r="IK87" s="1"/>
      <c r="IL87" s="1"/>
      <c r="IM87" s="1"/>
      <c r="IN87" s="1"/>
      <c r="IO87" s="1"/>
      <c r="IP87" s="1"/>
      <c r="IQ87" s="1"/>
      <c r="IR87" s="1"/>
      <c r="IS87" s="1"/>
      <c r="IT87" s="1"/>
      <c r="IU87" s="1"/>
      <c r="IV87" s="1"/>
      <c r="IW87" s="1"/>
      <c r="IX87" s="1"/>
      <c r="IY87" s="1"/>
      <c r="IZ87" s="1"/>
      <c r="JA87" s="1"/>
      <c r="JB87" s="1"/>
      <c r="JC87" s="1"/>
      <c r="JD87" s="1"/>
      <c r="JE87" s="1"/>
      <c r="JF87" s="1"/>
      <c r="JG87" s="1"/>
      <c r="JH87" s="1"/>
      <c r="JI87" s="1"/>
      <c r="JJ87" s="1"/>
      <c r="JK87" s="1"/>
      <c r="JL87" s="1"/>
      <c r="JM87" s="1"/>
      <c r="JN87" s="1"/>
      <c r="JO87" s="1"/>
      <c r="JP87" s="1"/>
      <c r="JQ87" s="1"/>
      <c r="JR87" s="1"/>
      <c r="JS87" s="1"/>
      <c r="JT87" s="1"/>
      <c r="JU87" s="1"/>
      <c r="JV87" s="1"/>
      <c r="JW87" s="1"/>
      <c r="JX87" s="1"/>
      <c r="JY87" s="1"/>
      <c r="JZ87" s="1"/>
      <c r="KA87" s="1"/>
      <c r="KB87" s="1"/>
      <c r="KC87" s="1"/>
      <c r="KD87" s="1"/>
      <c r="KE87" s="1"/>
      <c r="KF87" s="1"/>
      <c r="KG87" s="1"/>
      <c r="KH87" s="1"/>
      <c r="KI87" s="1"/>
      <c r="KJ87" s="1"/>
      <c r="KK87" s="1"/>
      <c r="KL87" s="1"/>
      <c r="KM87" s="1"/>
      <c r="KN87" s="1"/>
      <c r="KO87" s="1"/>
      <c r="KP87" s="1"/>
      <c r="KQ87" s="1"/>
    </row>
    <row r="88" spans="1:303" s="5" customFormat="1" ht="242.25" x14ac:dyDescent="0.25">
      <c r="A88" s="354" t="s">
        <v>79</v>
      </c>
      <c r="B88" s="354" t="s">
        <v>80</v>
      </c>
      <c r="C88" s="354" t="s">
        <v>81</v>
      </c>
      <c r="D88" s="354" t="s">
        <v>82</v>
      </c>
      <c r="E88" s="354" t="s">
        <v>83</v>
      </c>
      <c r="F88" s="354" t="s">
        <v>84</v>
      </c>
      <c r="G88" s="354" t="s">
        <v>85</v>
      </c>
      <c r="H88" s="350" t="s">
        <v>626</v>
      </c>
      <c r="I88" s="350" t="s">
        <v>649</v>
      </c>
      <c r="J88" s="350" t="s">
        <v>650</v>
      </c>
      <c r="K88" s="364" t="s">
        <v>651</v>
      </c>
      <c r="L88" s="348" t="s">
        <v>652</v>
      </c>
      <c r="M88" s="686" t="s">
        <v>697</v>
      </c>
      <c r="N88" s="361" t="s">
        <v>444</v>
      </c>
      <c r="O88" s="361" t="s">
        <v>445</v>
      </c>
      <c r="P88" s="922">
        <v>39542136.277533107</v>
      </c>
      <c r="Q88" s="364" t="s">
        <v>654</v>
      </c>
      <c r="R88" s="364" t="s">
        <v>213</v>
      </c>
      <c r="S88" s="20">
        <v>1</v>
      </c>
      <c r="T88" s="354" t="s">
        <v>698</v>
      </c>
      <c r="U88" s="354" t="s">
        <v>699</v>
      </c>
      <c r="V88" s="348" t="s">
        <v>98</v>
      </c>
      <c r="W88" s="355" t="s">
        <v>700</v>
      </c>
      <c r="X88" s="430"/>
      <c r="Y88" s="430">
        <v>0.33</v>
      </c>
      <c r="Z88" s="430">
        <v>0.33</v>
      </c>
      <c r="AA88" s="431">
        <v>0.34</v>
      </c>
      <c r="AB88" s="525">
        <v>8.34</v>
      </c>
      <c r="AC88" s="413">
        <v>1.3333333333333333</v>
      </c>
      <c r="AD88" s="413">
        <v>0.47037033333333333</v>
      </c>
      <c r="AE88" s="413">
        <v>0.4</v>
      </c>
      <c r="AF88" s="692">
        <f t="shared" si="57"/>
        <v>0</v>
      </c>
      <c r="AG88" s="693" t="s">
        <v>146</v>
      </c>
      <c r="AH88" s="698">
        <v>0</v>
      </c>
      <c r="AI88" s="693"/>
      <c r="AJ88" s="693"/>
      <c r="AK88" s="693"/>
      <c r="AL88" s="692">
        <f t="shared" si="37"/>
        <v>0</v>
      </c>
      <c r="AM88" s="697" t="s">
        <v>121</v>
      </c>
      <c r="AN88" s="693">
        <f t="shared" si="38"/>
        <v>0</v>
      </c>
      <c r="AO88" s="693">
        <f t="shared" si="39"/>
        <v>0</v>
      </c>
      <c r="AP88" s="693">
        <f t="shared" si="40"/>
        <v>0</v>
      </c>
      <c r="AQ88" s="693"/>
      <c r="AR88" s="401">
        <f t="shared" si="58"/>
        <v>0.33</v>
      </c>
      <c r="AS88" s="402" t="s">
        <v>100</v>
      </c>
      <c r="AT88" s="408">
        <v>0</v>
      </c>
      <c r="AU88" s="406" t="s">
        <v>701</v>
      </c>
      <c r="AV88" s="406" t="s">
        <v>702</v>
      </c>
      <c r="AW88" s="729" t="str">
        <f t="shared" si="51"/>
        <v>BAJO</v>
      </c>
      <c r="AX88" s="397">
        <f t="shared" si="41"/>
        <v>0</v>
      </c>
      <c r="AY88" s="400" t="s">
        <v>561</v>
      </c>
      <c r="AZ88" s="398">
        <f t="shared" si="42"/>
        <v>0</v>
      </c>
      <c r="BA88" s="398">
        <f t="shared" si="43"/>
        <v>0</v>
      </c>
      <c r="BB88" s="398">
        <f t="shared" si="44"/>
        <v>0</v>
      </c>
      <c r="BC88" s="15"/>
      <c r="BD88" s="14">
        <f t="shared" si="45"/>
        <v>0.33</v>
      </c>
      <c r="BE88" s="677" t="s">
        <v>100</v>
      </c>
      <c r="BF88" s="681">
        <f>1/1</f>
        <v>1</v>
      </c>
      <c r="BG88" s="647" t="s">
        <v>703</v>
      </c>
      <c r="BH88" s="647" t="s">
        <v>704</v>
      </c>
      <c r="BI88" s="658" t="str">
        <f t="shared" si="63"/>
        <v>ALTO</v>
      </c>
      <c r="BJ88" s="681">
        <f t="shared" si="46"/>
        <v>0.33</v>
      </c>
      <c r="BK88" s="647" t="s">
        <v>705</v>
      </c>
      <c r="BL88" s="682">
        <f t="shared" si="64"/>
        <v>3.9568345323741011E-2</v>
      </c>
      <c r="BM88" s="682">
        <f t="shared" si="65"/>
        <v>0.24750000000000003</v>
      </c>
      <c r="BN88" s="682">
        <f t="shared" si="66"/>
        <v>0.70157485839172118</v>
      </c>
      <c r="BO88" s="658"/>
      <c r="BP88" s="853">
        <f t="shared" si="59"/>
        <v>0.34</v>
      </c>
      <c r="BQ88" s="854" t="s">
        <v>105</v>
      </c>
      <c r="BR88" s="875">
        <f>30/100</f>
        <v>0.3</v>
      </c>
      <c r="BS88" s="858" t="s">
        <v>706</v>
      </c>
      <c r="BT88" s="857" t="s">
        <v>707</v>
      </c>
      <c r="BU88" s="907" t="str">
        <f t="shared" si="47"/>
        <v>BAJO</v>
      </c>
      <c r="BV88" s="875">
        <f t="shared" si="60"/>
        <v>0.10200000000000001</v>
      </c>
      <c r="BW88" s="874" t="s">
        <v>708</v>
      </c>
      <c r="BX88" s="857">
        <f t="shared" si="67"/>
        <v>0.85067999999999999</v>
      </c>
      <c r="BY88" s="857">
        <f t="shared" si="68"/>
        <v>0.13600000000000001</v>
      </c>
      <c r="BZ88" s="857">
        <f t="shared" si="69"/>
        <v>4.7977774000000001E-2</v>
      </c>
      <c r="CA88" s="857">
        <f t="shared" si="70"/>
        <v>4.0800000000000003E-2</v>
      </c>
      <c r="CB88" s="16">
        <f t="shared" si="71"/>
        <v>0.67</v>
      </c>
      <c r="CC88" s="16">
        <f t="shared" si="72"/>
        <v>0.33</v>
      </c>
      <c r="CD88" s="16">
        <f t="shared" si="61"/>
        <v>1</v>
      </c>
      <c r="CE88" s="16">
        <f t="shared" si="62"/>
        <v>0.43200000000000005</v>
      </c>
      <c r="CF88" s="16" t="e">
        <f>SUM(#REF!/(CC88+CB88))</f>
        <v>#REF!</v>
      </c>
      <c r="CG88" s="17"/>
      <c r="CH88" s="17"/>
      <c r="CI88" s="17"/>
      <c r="CJ88" s="17"/>
      <c r="CK88" s="1"/>
      <c r="CL88" s="1"/>
      <c r="CM88" s="1"/>
      <c r="CN88" s="1"/>
      <c r="CO88" s="1"/>
      <c r="CP88" s="1"/>
      <c r="CQ88" s="1"/>
      <c r="CR88" s="1"/>
      <c r="CS88" s="1"/>
      <c r="CT88" s="1"/>
      <c r="CU88" s="1"/>
      <c r="CV88" s="346">
        <f t="shared" si="56"/>
        <v>1</v>
      </c>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c r="GF88" s="1"/>
      <c r="GG88" s="1"/>
      <c r="GH88" s="1"/>
      <c r="GI88" s="1"/>
      <c r="GJ88" s="1"/>
      <c r="GK88" s="1"/>
      <c r="GL88" s="1"/>
      <c r="GM88" s="1"/>
      <c r="GN88" s="1"/>
      <c r="GO88" s="1"/>
      <c r="GP88" s="1"/>
      <c r="GQ88" s="1"/>
      <c r="GR88" s="1"/>
      <c r="GS88" s="1"/>
      <c r="GT88" s="1"/>
      <c r="GU88" s="1"/>
      <c r="GV88" s="1"/>
      <c r="GW88" s="1"/>
      <c r="GX88" s="1"/>
      <c r="GY88" s="1"/>
      <c r="GZ88" s="1"/>
      <c r="HA88" s="1"/>
      <c r="HB88" s="1"/>
      <c r="HC88" s="1"/>
      <c r="HD88" s="1"/>
      <c r="HE88" s="1"/>
      <c r="HF88" s="1"/>
      <c r="HG88" s="1"/>
      <c r="HH88" s="1"/>
      <c r="HI88" s="1"/>
      <c r="HJ88" s="1"/>
      <c r="HK88" s="1"/>
      <c r="HL88" s="1"/>
      <c r="HM88" s="1"/>
      <c r="HN88" s="1"/>
      <c r="HO88" s="1"/>
      <c r="HP88" s="1"/>
      <c r="HQ88" s="1"/>
      <c r="HR88" s="1"/>
      <c r="HS88" s="1"/>
      <c r="HT88" s="1"/>
      <c r="HU88" s="1"/>
      <c r="HV88" s="1"/>
      <c r="HW88" s="1"/>
      <c r="HX88" s="1"/>
      <c r="HY88" s="1"/>
      <c r="HZ88" s="1"/>
      <c r="IA88" s="1"/>
      <c r="IB88" s="1"/>
      <c r="IC88" s="1"/>
      <c r="ID88" s="1"/>
      <c r="IE88" s="1"/>
      <c r="IF88" s="1"/>
      <c r="IG88" s="1"/>
      <c r="IH88" s="1"/>
      <c r="II88" s="1"/>
      <c r="IJ88" s="1"/>
      <c r="IK88" s="1"/>
      <c r="IL88" s="1"/>
      <c r="IM88" s="1"/>
      <c r="IN88" s="1"/>
      <c r="IO88" s="1"/>
      <c r="IP88" s="1"/>
      <c r="IQ88" s="1"/>
      <c r="IR88" s="1"/>
      <c r="IS88" s="1"/>
      <c r="IT88" s="1"/>
      <c r="IU88" s="1"/>
      <c r="IV88" s="1"/>
      <c r="IW88" s="1"/>
      <c r="IX88" s="1"/>
      <c r="IY88" s="1"/>
      <c r="IZ88" s="1"/>
      <c r="JA88" s="1"/>
      <c r="JB88" s="1"/>
      <c r="JC88" s="1"/>
      <c r="JD88" s="1"/>
      <c r="JE88" s="1"/>
      <c r="JF88" s="1"/>
      <c r="JG88" s="1"/>
      <c r="JH88" s="1"/>
      <c r="JI88" s="1"/>
      <c r="JJ88" s="1"/>
      <c r="JK88" s="1"/>
      <c r="JL88" s="1"/>
      <c r="JM88" s="1"/>
      <c r="JN88" s="1"/>
      <c r="JO88" s="1"/>
      <c r="JP88" s="1"/>
      <c r="JQ88" s="1"/>
      <c r="JR88" s="1"/>
      <c r="JS88" s="1"/>
      <c r="JT88" s="1"/>
      <c r="JU88" s="1"/>
      <c r="JV88" s="1"/>
      <c r="JW88" s="1"/>
      <c r="JX88" s="1"/>
      <c r="JY88" s="1"/>
      <c r="JZ88" s="1"/>
      <c r="KA88" s="1"/>
      <c r="KB88" s="1"/>
      <c r="KC88" s="1"/>
      <c r="KD88" s="1"/>
      <c r="KE88" s="1"/>
      <c r="KF88" s="1"/>
      <c r="KG88" s="1"/>
      <c r="KH88" s="1"/>
      <c r="KI88" s="1"/>
      <c r="KJ88" s="1"/>
      <c r="KK88" s="1"/>
      <c r="KL88" s="1"/>
      <c r="KM88" s="1"/>
      <c r="KN88" s="1"/>
      <c r="KO88" s="1"/>
      <c r="KP88" s="1"/>
      <c r="KQ88" s="1"/>
    </row>
    <row r="89" spans="1:303" s="5" customFormat="1" ht="242.25" x14ac:dyDescent="0.25">
      <c r="A89" s="354" t="s">
        <v>79</v>
      </c>
      <c r="B89" s="354" t="s">
        <v>80</v>
      </c>
      <c r="C89" s="354" t="s">
        <v>81</v>
      </c>
      <c r="D89" s="354" t="s">
        <v>82</v>
      </c>
      <c r="E89" s="354" t="s">
        <v>83</v>
      </c>
      <c r="F89" s="354" t="s">
        <v>84</v>
      </c>
      <c r="G89" s="354" t="s">
        <v>85</v>
      </c>
      <c r="H89" s="350" t="s">
        <v>626</v>
      </c>
      <c r="I89" s="350" t="s">
        <v>649</v>
      </c>
      <c r="J89" s="350" t="s">
        <v>650</v>
      </c>
      <c r="K89" s="364" t="s">
        <v>651</v>
      </c>
      <c r="L89" s="348" t="s">
        <v>652</v>
      </c>
      <c r="M89" s="686" t="s">
        <v>709</v>
      </c>
      <c r="N89" s="361" t="s">
        <v>444</v>
      </c>
      <c r="O89" s="361" t="s">
        <v>445</v>
      </c>
      <c r="P89" s="922">
        <v>39542136.277533107</v>
      </c>
      <c r="Q89" s="364" t="s">
        <v>654</v>
      </c>
      <c r="R89" s="364" t="s">
        <v>213</v>
      </c>
      <c r="S89" s="20">
        <v>1</v>
      </c>
      <c r="T89" s="348" t="s">
        <v>710</v>
      </c>
      <c r="U89" s="355" t="s">
        <v>711</v>
      </c>
      <c r="V89" s="348" t="s">
        <v>98</v>
      </c>
      <c r="W89" s="355" t="s">
        <v>712</v>
      </c>
      <c r="X89" s="430">
        <v>0.25</v>
      </c>
      <c r="Y89" s="430">
        <v>0.25</v>
      </c>
      <c r="Z89" s="430">
        <v>0.25</v>
      </c>
      <c r="AA89" s="431">
        <v>0.25</v>
      </c>
      <c r="AB89" s="525">
        <v>8.33</v>
      </c>
      <c r="AC89" s="413">
        <v>1.3333333333333333</v>
      </c>
      <c r="AD89" s="413">
        <v>0.47037033333333333</v>
      </c>
      <c r="AE89" s="413">
        <v>0.4</v>
      </c>
      <c r="AF89" s="692">
        <f t="shared" si="57"/>
        <v>0.25</v>
      </c>
      <c r="AG89" s="693" t="s">
        <v>100</v>
      </c>
      <c r="AH89" s="698">
        <f>348/348</f>
        <v>1</v>
      </c>
      <c r="AI89" s="697" t="s">
        <v>713</v>
      </c>
      <c r="AJ89" s="697"/>
      <c r="AK89" s="693" t="str">
        <f>+IF(AND(AH89&gt;=0%,AH89&lt;=60%),"BAJO",IF(AND(AH89&gt;=61%,AH89&lt;=80%),"MEDIO","ALTO"))</f>
        <v>ALTO</v>
      </c>
      <c r="AL89" s="692">
        <f t="shared" si="37"/>
        <v>0.25</v>
      </c>
      <c r="AM89" s="697" t="s">
        <v>714</v>
      </c>
      <c r="AN89" s="693">
        <f t="shared" si="38"/>
        <v>2.0825</v>
      </c>
      <c r="AO89" s="693">
        <f t="shared" si="39"/>
        <v>0.33333333333333331</v>
      </c>
      <c r="AP89" s="693">
        <f t="shared" si="40"/>
        <v>0.11759258333333333</v>
      </c>
      <c r="AQ89" s="693"/>
      <c r="AR89" s="401">
        <f t="shared" si="58"/>
        <v>0.25</v>
      </c>
      <c r="AS89" s="402" t="s">
        <v>100</v>
      </c>
      <c r="AT89" s="408">
        <f>85/85</f>
        <v>1</v>
      </c>
      <c r="AU89" s="406" t="s">
        <v>715</v>
      </c>
      <c r="AV89" s="404"/>
      <c r="AW89" s="729" t="str">
        <f t="shared" si="51"/>
        <v>ALTO</v>
      </c>
      <c r="AX89" s="397">
        <f t="shared" si="41"/>
        <v>0.25</v>
      </c>
      <c r="AY89" s="400" t="s">
        <v>714</v>
      </c>
      <c r="AZ89" s="398">
        <f t="shared" si="42"/>
        <v>2.0825</v>
      </c>
      <c r="BA89" s="398">
        <f t="shared" si="43"/>
        <v>0.33333333333333331</v>
      </c>
      <c r="BB89" s="398">
        <f t="shared" si="44"/>
        <v>0.11759258333333333</v>
      </c>
      <c r="BC89" s="15"/>
      <c r="BD89" s="14">
        <f t="shared" si="45"/>
        <v>0.25</v>
      </c>
      <c r="BE89" s="677" t="s">
        <v>100</v>
      </c>
      <c r="BF89" s="681">
        <f>3/3</f>
        <v>1</v>
      </c>
      <c r="BG89" s="647" t="s">
        <v>716</v>
      </c>
      <c r="BH89" s="647" t="s">
        <v>717</v>
      </c>
      <c r="BI89" s="658" t="str">
        <f t="shared" si="63"/>
        <v>ALTO</v>
      </c>
      <c r="BJ89" s="681">
        <f t="shared" si="46"/>
        <v>0.25</v>
      </c>
      <c r="BK89" s="647" t="s">
        <v>718</v>
      </c>
      <c r="BL89" s="682">
        <f t="shared" si="64"/>
        <v>3.0012004801920768E-2</v>
      </c>
      <c r="BM89" s="682">
        <f t="shared" si="65"/>
        <v>0.1875</v>
      </c>
      <c r="BN89" s="682">
        <f t="shared" si="66"/>
        <v>0.53149610484221299</v>
      </c>
      <c r="BO89" s="658"/>
      <c r="BP89" s="853">
        <f t="shared" si="59"/>
        <v>0.25</v>
      </c>
      <c r="BQ89" s="854" t="s">
        <v>105</v>
      </c>
      <c r="BR89" s="861">
        <f>100/100</f>
        <v>1</v>
      </c>
      <c r="BS89" s="858" t="s">
        <v>719</v>
      </c>
      <c r="BT89" s="858" t="s">
        <v>679</v>
      </c>
      <c r="BU89" s="905" t="str">
        <f t="shared" si="47"/>
        <v>ALTO</v>
      </c>
      <c r="BV89" s="875">
        <f t="shared" si="60"/>
        <v>0.25</v>
      </c>
      <c r="BW89" s="874" t="s">
        <v>720</v>
      </c>
      <c r="BX89" s="857">
        <f t="shared" si="67"/>
        <v>2.0825</v>
      </c>
      <c r="BY89" s="857">
        <f t="shared" si="68"/>
        <v>0.33333333333333331</v>
      </c>
      <c r="BZ89" s="857">
        <f t="shared" si="69"/>
        <v>0.11759258333333333</v>
      </c>
      <c r="CA89" s="857">
        <f t="shared" si="70"/>
        <v>0.1</v>
      </c>
      <c r="CB89" s="16">
        <f t="shared" si="71"/>
        <v>0.5</v>
      </c>
      <c r="CC89" s="16">
        <f t="shared" si="72"/>
        <v>0.5</v>
      </c>
      <c r="CD89" s="16">
        <f t="shared" si="61"/>
        <v>1</v>
      </c>
      <c r="CE89" s="16">
        <f t="shared" si="62"/>
        <v>1</v>
      </c>
      <c r="CF89" s="16" t="e">
        <f>SUM(#REF!/(CC89+CB89))</f>
        <v>#REF!</v>
      </c>
      <c r="CG89" s="17"/>
      <c r="CH89" s="17"/>
      <c r="CI89" s="17"/>
      <c r="CJ89" s="17"/>
      <c r="CK89" s="1"/>
      <c r="CL89" s="1"/>
      <c r="CM89" s="1"/>
      <c r="CN89" s="1"/>
      <c r="CO89" s="1"/>
      <c r="CP89" s="1"/>
      <c r="CQ89" s="1"/>
      <c r="CR89" s="1"/>
      <c r="CS89" s="1"/>
      <c r="CT89" s="1"/>
      <c r="CU89" s="1"/>
      <c r="CV89" s="346">
        <f t="shared" ref="CV89:CV120" si="73">SUM(X89:AA89)</f>
        <v>1</v>
      </c>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c r="GF89" s="1"/>
      <c r="GG89" s="1"/>
      <c r="GH89" s="1"/>
      <c r="GI89" s="1"/>
      <c r="GJ89" s="1"/>
      <c r="GK89" s="1"/>
      <c r="GL89" s="1"/>
      <c r="GM89" s="1"/>
      <c r="GN89" s="1"/>
      <c r="GO89" s="1"/>
      <c r="GP89" s="1"/>
      <c r="GQ89" s="1"/>
      <c r="GR89" s="1"/>
      <c r="GS89" s="1"/>
      <c r="GT89" s="1"/>
      <c r="GU89" s="1"/>
      <c r="GV89" s="1"/>
      <c r="GW89" s="1"/>
      <c r="GX89" s="1"/>
      <c r="GY89" s="1"/>
      <c r="GZ89" s="1"/>
      <c r="HA89" s="1"/>
      <c r="HB89" s="1"/>
      <c r="HC89" s="1"/>
      <c r="HD89" s="1"/>
      <c r="HE89" s="1"/>
      <c r="HF89" s="1"/>
      <c r="HG89" s="1"/>
      <c r="HH89" s="1"/>
      <c r="HI89" s="1"/>
      <c r="HJ89" s="1"/>
      <c r="HK89" s="1"/>
      <c r="HL89" s="1"/>
      <c r="HM89" s="1"/>
      <c r="HN89" s="1"/>
      <c r="HO89" s="1"/>
      <c r="HP89" s="1"/>
      <c r="HQ89" s="1"/>
      <c r="HR89" s="1"/>
      <c r="HS89" s="1"/>
      <c r="HT89" s="1"/>
      <c r="HU89" s="1"/>
      <c r="HV89" s="1"/>
      <c r="HW89" s="1"/>
      <c r="HX89" s="1"/>
      <c r="HY89" s="1"/>
      <c r="HZ89" s="1"/>
      <c r="IA89" s="1"/>
      <c r="IB89" s="1"/>
      <c r="IC89" s="1"/>
      <c r="ID89" s="1"/>
      <c r="IE89" s="1"/>
      <c r="IF89" s="1"/>
      <c r="IG89" s="1"/>
      <c r="IH89" s="1"/>
      <c r="II89" s="1"/>
      <c r="IJ89" s="1"/>
      <c r="IK89" s="1"/>
      <c r="IL89" s="1"/>
      <c r="IM89" s="1"/>
      <c r="IN89" s="1"/>
      <c r="IO89" s="1"/>
      <c r="IP89" s="1"/>
      <c r="IQ89" s="1"/>
      <c r="IR89" s="1"/>
      <c r="IS89" s="1"/>
      <c r="IT89" s="1"/>
      <c r="IU89" s="1"/>
      <c r="IV89" s="1"/>
      <c r="IW89" s="1"/>
      <c r="IX89" s="1"/>
      <c r="IY89" s="1"/>
      <c r="IZ89" s="1"/>
      <c r="JA89" s="1"/>
      <c r="JB89" s="1"/>
      <c r="JC89" s="1"/>
      <c r="JD89" s="1"/>
      <c r="JE89" s="1"/>
      <c r="JF89" s="1"/>
      <c r="JG89" s="1"/>
      <c r="JH89" s="1"/>
      <c r="JI89" s="1"/>
      <c r="JJ89" s="1"/>
      <c r="JK89" s="1"/>
      <c r="JL89" s="1"/>
      <c r="JM89" s="1"/>
      <c r="JN89" s="1"/>
      <c r="JO89" s="1"/>
      <c r="JP89" s="1"/>
      <c r="JQ89" s="1"/>
      <c r="JR89" s="1"/>
      <c r="JS89" s="1"/>
      <c r="JT89" s="1"/>
      <c r="JU89" s="1"/>
      <c r="JV89" s="1"/>
      <c r="JW89" s="1"/>
      <c r="JX89" s="1"/>
      <c r="JY89" s="1"/>
      <c r="JZ89" s="1"/>
      <c r="KA89" s="1"/>
      <c r="KB89" s="1"/>
      <c r="KC89" s="1"/>
      <c r="KD89" s="1"/>
      <c r="KE89" s="1"/>
      <c r="KF89" s="1"/>
      <c r="KG89" s="1"/>
      <c r="KH89" s="1"/>
      <c r="KI89" s="1"/>
      <c r="KJ89" s="1"/>
      <c r="KK89" s="1"/>
      <c r="KL89" s="1"/>
      <c r="KM89" s="1"/>
      <c r="KN89" s="1"/>
      <c r="KO89" s="1"/>
      <c r="KP89" s="1"/>
      <c r="KQ89" s="1"/>
    </row>
    <row r="90" spans="1:303" s="5" customFormat="1" ht="171" x14ac:dyDescent="0.25">
      <c r="A90" s="356" t="s">
        <v>79</v>
      </c>
      <c r="B90" s="356" t="s">
        <v>80</v>
      </c>
      <c r="C90" s="356" t="s">
        <v>81</v>
      </c>
      <c r="D90" s="356" t="s">
        <v>82</v>
      </c>
      <c r="E90" s="356" t="s">
        <v>83</v>
      </c>
      <c r="F90" s="356" t="s">
        <v>84</v>
      </c>
      <c r="G90" s="356" t="s">
        <v>85</v>
      </c>
      <c r="H90" s="356" t="s">
        <v>86</v>
      </c>
      <c r="I90" s="356" t="s">
        <v>87</v>
      </c>
      <c r="J90" s="356" t="s">
        <v>152</v>
      </c>
      <c r="K90" s="382" t="s">
        <v>651</v>
      </c>
      <c r="L90" s="382" t="s">
        <v>652</v>
      </c>
      <c r="M90" s="357" t="s">
        <v>153</v>
      </c>
      <c r="N90" s="367" t="s">
        <v>91</v>
      </c>
      <c r="O90" s="367" t="s">
        <v>154</v>
      </c>
      <c r="P90" s="930">
        <v>39542136.277533107</v>
      </c>
      <c r="Q90" s="382" t="s">
        <v>654</v>
      </c>
      <c r="R90" s="382" t="s">
        <v>156</v>
      </c>
      <c r="S90" s="357">
        <v>3</v>
      </c>
      <c r="T90" s="369" t="s">
        <v>157</v>
      </c>
      <c r="U90" s="357" t="s">
        <v>158</v>
      </c>
      <c r="V90" s="370" t="s">
        <v>98</v>
      </c>
      <c r="W90" s="497" t="s">
        <v>159</v>
      </c>
      <c r="X90" s="432">
        <v>0</v>
      </c>
      <c r="Y90" s="432">
        <v>0.34</v>
      </c>
      <c r="Z90" s="432">
        <v>0.33</v>
      </c>
      <c r="AA90" s="444">
        <v>0.33</v>
      </c>
      <c r="AB90" s="525">
        <v>16.66</v>
      </c>
      <c r="AC90" s="413">
        <v>2.66</v>
      </c>
      <c r="AD90" s="413">
        <v>0.94069999999999998</v>
      </c>
      <c r="AE90" s="413">
        <v>0.37727272727272726</v>
      </c>
      <c r="AF90" s="692">
        <f t="shared" si="57"/>
        <v>0</v>
      </c>
      <c r="AG90" s="693" t="s">
        <v>146</v>
      </c>
      <c r="AH90" s="698">
        <v>0</v>
      </c>
      <c r="AI90" s="693"/>
      <c r="AJ90" s="693"/>
      <c r="AK90" s="693"/>
      <c r="AL90" s="692">
        <f t="shared" si="37"/>
        <v>0</v>
      </c>
      <c r="AM90" s="697" t="s">
        <v>121</v>
      </c>
      <c r="AN90" s="693">
        <f t="shared" si="38"/>
        <v>0</v>
      </c>
      <c r="AO90" s="693">
        <f t="shared" si="39"/>
        <v>0</v>
      </c>
      <c r="AP90" s="693">
        <f t="shared" si="40"/>
        <v>0</v>
      </c>
      <c r="AQ90" s="693"/>
      <c r="AR90" s="401">
        <f t="shared" si="58"/>
        <v>0.34</v>
      </c>
      <c r="AS90" s="402" t="s">
        <v>100</v>
      </c>
      <c r="AT90" s="405">
        <f>1/1</f>
        <v>1</v>
      </c>
      <c r="AU90" s="406" t="s">
        <v>721</v>
      </c>
      <c r="AV90" s="406" t="s">
        <v>722</v>
      </c>
      <c r="AW90" s="729" t="str">
        <f t="shared" si="51"/>
        <v>ALTO</v>
      </c>
      <c r="AX90" s="397">
        <f t="shared" si="41"/>
        <v>0.34</v>
      </c>
      <c r="AY90" s="400" t="s">
        <v>714</v>
      </c>
      <c r="AZ90" s="398">
        <f t="shared" si="42"/>
        <v>5.6644000000000005</v>
      </c>
      <c r="BA90" s="398">
        <f t="shared" si="43"/>
        <v>0.90440000000000009</v>
      </c>
      <c r="BB90" s="398">
        <f t="shared" si="44"/>
        <v>0.31983800000000001</v>
      </c>
      <c r="BC90" s="15"/>
      <c r="BD90" s="14">
        <f t="shared" si="45"/>
        <v>0.33</v>
      </c>
      <c r="BE90" s="677" t="s">
        <v>100</v>
      </c>
      <c r="BF90" s="681">
        <f>1/1</f>
        <v>1</v>
      </c>
      <c r="BG90" s="647" t="s">
        <v>723</v>
      </c>
      <c r="BH90" s="647" t="s">
        <v>724</v>
      </c>
      <c r="BI90" s="658" t="str">
        <f t="shared" si="63"/>
        <v>ALTO</v>
      </c>
      <c r="BJ90" s="681">
        <f t="shared" si="46"/>
        <v>0.33</v>
      </c>
      <c r="BK90" s="647" t="s">
        <v>725</v>
      </c>
      <c r="BL90" s="682">
        <f t="shared" si="64"/>
        <v>1.9807923169267709E-2</v>
      </c>
      <c r="BM90" s="682">
        <f t="shared" si="65"/>
        <v>0.12406015037593984</v>
      </c>
      <c r="BN90" s="682">
        <f t="shared" si="66"/>
        <v>0.3508025938131179</v>
      </c>
      <c r="BO90" s="658"/>
      <c r="BP90" s="853">
        <f t="shared" si="59"/>
        <v>0.33</v>
      </c>
      <c r="BQ90" s="854" t="s">
        <v>105</v>
      </c>
      <c r="BR90" s="875">
        <v>1</v>
      </c>
      <c r="BS90" s="858" t="s">
        <v>726</v>
      </c>
      <c r="BT90" s="857" t="s">
        <v>727</v>
      </c>
      <c r="BU90" s="905" t="str">
        <f t="shared" si="47"/>
        <v>ALTO</v>
      </c>
      <c r="BV90" s="875">
        <f t="shared" si="60"/>
        <v>0.33</v>
      </c>
      <c r="BW90" s="859" t="s">
        <v>336</v>
      </c>
      <c r="BX90" s="857">
        <f t="shared" si="67"/>
        <v>5.4978000000000007</v>
      </c>
      <c r="BY90" s="857">
        <f t="shared" si="68"/>
        <v>0.87780000000000014</v>
      </c>
      <c r="BZ90" s="857">
        <f t="shared" si="69"/>
        <v>0.31043100000000001</v>
      </c>
      <c r="CA90" s="857">
        <f t="shared" si="70"/>
        <v>0.1245</v>
      </c>
      <c r="CB90" s="16">
        <f t="shared" si="71"/>
        <v>0.66</v>
      </c>
      <c r="CC90" s="16">
        <f t="shared" si="72"/>
        <v>0.34</v>
      </c>
      <c r="CD90" s="16">
        <f t="shared" si="61"/>
        <v>1</v>
      </c>
      <c r="CE90" s="16">
        <f t="shared" si="62"/>
        <v>1</v>
      </c>
      <c r="CF90" s="16" t="e">
        <f>SUM(#REF!/(CC90+CB90))</f>
        <v>#REF!</v>
      </c>
      <c r="CG90" s="17"/>
      <c r="CH90" s="17"/>
      <c r="CI90" s="17"/>
      <c r="CJ90" s="17"/>
      <c r="CK90" s="3" t="s">
        <v>165</v>
      </c>
      <c r="CL90" s="1"/>
      <c r="CM90" s="1"/>
      <c r="CN90" s="1"/>
      <c r="CO90" s="1"/>
      <c r="CP90" s="1"/>
      <c r="CQ90" s="1"/>
      <c r="CR90" s="1"/>
      <c r="CS90" s="1"/>
      <c r="CT90" s="1"/>
      <c r="CU90" s="1"/>
      <c r="CV90" s="346">
        <f t="shared" si="73"/>
        <v>1</v>
      </c>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c r="GF90" s="1"/>
      <c r="GG90" s="1"/>
      <c r="GH90" s="1"/>
      <c r="GI90" s="1"/>
      <c r="GJ90" s="1"/>
      <c r="GK90" s="1"/>
      <c r="GL90" s="1"/>
      <c r="GM90" s="1"/>
      <c r="GN90" s="1"/>
      <c r="GO90" s="1"/>
      <c r="GP90" s="1"/>
      <c r="GQ90" s="1"/>
      <c r="GR90" s="1"/>
      <c r="GS90" s="1"/>
      <c r="GT90" s="1"/>
      <c r="GU90" s="1"/>
      <c r="GV90" s="1"/>
      <c r="GW90" s="1"/>
      <c r="GX90" s="1"/>
      <c r="GY90" s="1"/>
      <c r="GZ90" s="1"/>
      <c r="HA90" s="1"/>
      <c r="HB90" s="1"/>
      <c r="HC90" s="1"/>
      <c r="HD90" s="1"/>
      <c r="HE90" s="1"/>
      <c r="HF90" s="1"/>
      <c r="HG90" s="1"/>
      <c r="HH90" s="1"/>
      <c r="HI90" s="1"/>
      <c r="HJ90" s="1"/>
      <c r="HK90" s="1"/>
      <c r="HL90" s="1"/>
      <c r="HM90" s="1"/>
      <c r="HN90" s="1"/>
      <c r="HO90" s="1"/>
      <c r="HP90" s="1"/>
      <c r="HQ90" s="1"/>
      <c r="HR90" s="1"/>
      <c r="HS90" s="1"/>
      <c r="HT90" s="1"/>
      <c r="HU90" s="1"/>
      <c r="HV90" s="1"/>
      <c r="HW90" s="1"/>
      <c r="HX90" s="1"/>
      <c r="HY90" s="1"/>
      <c r="HZ90" s="1"/>
      <c r="IA90" s="1"/>
      <c r="IB90" s="1"/>
      <c r="IC90" s="1"/>
      <c r="ID90" s="1"/>
      <c r="IE90" s="1"/>
      <c r="IF90" s="1"/>
      <c r="IG90" s="1"/>
      <c r="IH90" s="1"/>
      <c r="II90" s="1"/>
      <c r="IJ90" s="1"/>
      <c r="IK90" s="1"/>
      <c r="IL90" s="1"/>
      <c r="IM90" s="1"/>
      <c r="IN90" s="1"/>
      <c r="IO90" s="1"/>
      <c r="IP90" s="1"/>
      <c r="IQ90" s="1"/>
      <c r="IR90" s="1"/>
      <c r="IS90" s="1"/>
      <c r="IT90" s="1"/>
      <c r="IU90" s="1"/>
      <c r="IV90" s="1"/>
      <c r="IW90" s="1"/>
      <c r="IX90" s="1"/>
      <c r="IY90" s="1"/>
      <c r="IZ90" s="1"/>
      <c r="JA90" s="1"/>
      <c r="JB90" s="1"/>
      <c r="JC90" s="1"/>
      <c r="JD90" s="1"/>
      <c r="JE90" s="1"/>
      <c r="JF90" s="1"/>
      <c r="JG90" s="1"/>
      <c r="JH90" s="1"/>
      <c r="JI90" s="1"/>
      <c r="JJ90" s="1"/>
      <c r="JK90" s="1"/>
      <c r="JL90" s="1"/>
      <c r="JM90" s="1"/>
      <c r="JN90" s="1"/>
      <c r="JO90" s="1"/>
      <c r="JP90" s="1"/>
      <c r="JQ90" s="1"/>
      <c r="JR90" s="1"/>
      <c r="JS90" s="1"/>
      <c r="JT90" s="1"/>
      <c r="JU90" s="1"/>
      <c r="JV90" s="1"/>
      <c r="JW90" s="1"/>
      <c r="JX90" s="1"/>
      <c r="JY90" s="1"/>
      <c r="JZ90" s="1"/>
      <c r="KA90" s="1"/>
      <c r="KB90" s="1"/>
      <c r="KC90" s="1"/>
      <c r="KD90" s="1"/>
      <c r="KE90" s="1"/>
      <c r="KF90" s="1"/>
      <c r="KG90" s="1"/>
      <c r="KH90" s="1"/>
      <c r="KI90" s="1"/>
      <c r="KJ90" s="1"/>
      <c r="KK90" s="1"/>
      <c r="KL90" s="1"/>
      <c r="KM90" s="1"/>
      <c r="KN90" s="1"/>
      <c r="KO90" s="1"/>
      <c r="KP90" s="1"/>
      <c r="KQ90" s="1"/>
    </row>
    <row r="91" spans="1:303" s="3" customFormat="1" ht="171" x14ac:dyDescent="0.25">
      <c r="A91" s="356" t="s">
        <v>79</v>
      </c>
      <c r="B91" s="356" t="s">
        <v>80</v>
      </c>
      <c r="C91" s="356" t="s">
        <v>81</v>
      </c>
      <c r="D91" s="356" t="s">
        <v>82</v>
      </c>
      <c r="E91" s="356" t="s">
        <v>83</v>
      </c>
      <c r="F91" s="356" t="s">
        <v>84</v>
      </c>
      <c r="G91" s="356" t="s">
        <v>85</v>
      </c>
      <c r="H91" s="356" t="s">
        <v>86</v>
      </c>
      <c r="I91" s="356" t="s">
        <v>87</v>
      </c>
      <c r="J91" s="356" t="s">
        <v>152</v>
      </c>
      <c r="K91" s="382" t="s">
        <v>651</v>
      </c>
      <c r="L91" s="382" t="s">
        <v>652</v>
      </c>
      <c r="M91" s="357" t="s">
        <v>166</v>
      </c>
      <c r="N91" s="367" t="s">
        <v>91</v>
      </c>
      <c r="O91" s="367" t="s">
        <v>154</v>
      </c>
      <c r="P91" s="930">
        <v>39542136.277533107</v>
      </c>
      <c r="Q91" s="382" t="s">
        <v>654</v>
      </c>
      <c r="R91" s="382" t="s">
        <v>156</v>
      </c>
      <c r="S91" s="357">
        <v>3</v>
      </c>
      <c r="T91" s="377" t="s">
        <v>167</v>
      </c>
      <c r="U91" s="357" t="s">
        <v>168</v>
      </c>
      <c r="V91" s="357" t="s">
        <v>98</v>
      </c>
      <c r="W91" s="497" t="s">
        <v>616</v>
      </c>
      <c r="X91" s="432">
        <v>0</v>
      </c>
      <c r="Y91" s="432">
        <v>0.34</v>
      </c>
      <c r="Z91" s="432">
        <v>0.33</v>
      </c>
      <c r="AA91" s="444">
        <v>0.33</v>
      </c>
      <c r="AB91" s="525">
        <v>8.33</v>
      </c>
      <c r="AC91" s="413">
        <v>1.3333333333333333</v>
      </c>
      <c r="AD91" s="413">
        <v>0.47037033333333333</v>
      </c>
      <c r="AE91" s="413">
        <v>0.37727272727272726</v>
      </c>
      <c r="AF91" s="692">
        <f t="shared" si="57"/>
        <v>0</v>
      </c>
      <c r="AG91" s="693" t="s">
        <v>146</v>
      </c>
      <c r="AH91" s="698">
        <v>0</v>
      </c>
      <c r="AI91" s="696"/>
      <c r="AJ91" s="696"/>
      <c r="AK91" s="693"/>
      <c r="AL91" s="692">
        <f t="shared" si="37"/>
        <v>0</v>
      </c>
      <c r="AM91" s="695" t="s">
        <v>121</v>
      </c>
      <c r="AN91" s="693">
        <f t="shared" si="38"/>
        <v>0</v>
      </c>
      <c r="AO91" s="693">
        <f t="shared" si="39"/>
        <v>0</v>
      </c>
      <c r="AP91" s="693">
        <f t="shared" si="40"/>
        <v>0</v>
      </c>
      <c r="AQ91" s="696"/>
      <c r="AR91" s="401">
        <f t="shared" si="58"/>
        <v>0.34</v>
      </c>
      <c r="AS91" s="402" t="s">
        <v>100</v>
      </c>
      <c r="AT91" s="405">
        <f>1/1</f>
        <v>1</v>
      </c>
      <c r="AU91" s="406" t="s">
        <v>728</v>
      </c>
      <c r="AV91" s="406" t="s">
        <v>722</v>
      </c>
      <c r="AW91" s="729" t="str">
        <f t="shared" si="51"/>
        <v>ALTO</v>
      </c>
      <c r="AX91" s="397">
        <f t="shared" si="41"/>
        <v>0.34</v>
      </c>
      <c r="AY91" s="400" t="s">
        <v>729</v>
      </c>
      <c r="AZ91" s="398">
        <f t="shared" si="42"/>
        <v>2.8322000000000003</v>
      </c>
      <c r="BA91" s="398">
        <f t="shared" si="43"/>
        <v>0.45333333333333337</v>
      </c>
      <c r="BB91" s="398">
        <f t="shared" si="44"/>
        <v>0.15992591333333334</v>
      </c>
      <c r="BC91" s="18"/>
      <c r="BD91" s="14">
        <f t="shared" si="45"/>
        <v>0.33</v>
      </c>
      <c r="BE91" s="677" t="s">
        <v>100</v>
      </c>
      <c r="BF91" s="681">
        <v>1</v>
      </c>
      <c r="BG91" s="647" t="s">
        <v>730</v>
      </c>
      <c r="BH91" s="647"/>
      <c r="BI91" s="658" t="str">
        <f t="shared" si="63"/>
        <v>ALTO</v>
      </c>
      <c r="BJ91" s="681">
        <f t="shared" si="46"/>
        <v>0.33</v>
      </c>
      <c r="BK91" s="680" t="s">
        <v>731</v>
      </c>
      <c r="BL91" s="682">
        <f t="shared" si="64"/>
        <v>3.9615846338535418E-2</v>
      </c>
      <c r="BM91" s="682">
        <f t="shared" si="65"/>
        <v>0.24750000000000003</v>
      </c>
      <c r="BN91" s="682">
        <f t="shared" si="66"/>
        <v>0.70157485839172118</v>
      </c>
      <c r="BO91" s="754"/>
      <c r="BP91" s="853">
        <f t="shared" si="59"/>
        <v>0.33</v>
      </c>
      <c r="BQ91" s="854" t="s">
        <v>105</v>
      </c>
      <c r="BR91" s="861">
        <v>1</v>
      </c>
      <c r="BS91" s="856" t="s">
        <v>732</v>
      </c>
      <c r="BT91" s="857" t="s">
        <v>733</v>
      </c>
      <c r="BU91" s="905" t="str">
        <f t="shared" si="47"/>
        <v>ALTO</v>
      </c>
      <c r="BV91" s="875">
        <f t="shared" si="60"/>
        <v>0.33</v>
      </c>
      <c r="BW91" s="863" t="s">
        <v>521</v>
      </c>
      <c r="BX91" s="857">
        <f t="shared" si="67"/>
        <v>2.7489000000000003</v>
      </c>
      <c r="BY91" s="857">
        <f t="shared" si="68"/>
        <v>0.44</v>
      </c>
      <c r="BZ91" s="857">
        <f t="shared" si="69"/>
        <v>0.15522221</v>
      </c>
      <c r="CA91" s="857">
        <f t="shared" si="70"/>
        <v>0.1245</v>
      </c>
      <c r="CB91" s="16">
        <f t="shared" si="71"/>
        <v>0.66</v>
      </c>
      <c r="CC91" s="16">
        <f t="shared" si="72"/>
        <v>0.34</v>
      </c>
      <c r="CD91" s="16">
        <f t="shared" si="61"/>
        <v>1</v>
      </c>
      <c r="CE91" s="16">
        <f t="shared" si="62"/>
        <v>1</v>
      </c>
      <c r="CF91" s="16" t="e">
        <f>SUM(#REF!/(CC91+CB91))</f>
        <v>#REF!</v>
      </c>
      <c r="CG91" s="19"/>
      <c r="CH91" s="19"/>
      <c r="CI91" s="19"/>
      <c r="CJ91" s="19"/>
      <c r="CK91" s="3" t="s">
        <v>165</v>
      </c>
      <c r="CV91" s="346">
        <f t="shared" si="73"/>
        <v>1</v>
      </c>
    </row>
    <row r="92" spans="1:303" s="5" customFormat="1" ht="171" x14ac:dyDescent="0.25">
      <c r="A92" s="356" t="s">
        <v>79</v>
      </c>
      <c r="B92" s="356" t="s">
        <v>80</v>
      </c>
      <c r="C92" s="356" t="s">
        <v>81</v>
      </c>
      <c r="D92" s="356" t="s">
        <v>82</v>
      </c>
      <c r="E92" s="356" t="s">
        <v>83</v>
      </c>
      <c r="F92" s="356" t="s">
        <v>84</v>
      </c>
      <c r="G92" s="356" t="s">
        <v>85</v>
      </c>
      <c r="H92" s="356" t="s">
        <v>86</v>
      </c>
      <c r="I92" s="356" t="s">
        <v>87</v>
      </c>
      <c r="J92" s="356" t="s">
        <v>152</v>
      </c>
      <c r="K92" s="382" t="s">
        <v>651</v>
      </c>
      <c r="L92" s="382" t="s">
        <v>652</v>
      </c>
      <c r="M92" s="357" t="s">
        <v>174</v>
      </c>
      <c r="N92" s="367" t="s">
        <v>91</v>
      </c>
      <c r="O92" s="367" t="s">
        <v>154</v>
      </c>
      <c r="P92" s="930">
        <v>39542136.277533107</v>
      </c>
      <c r="Q92" s="382" t="s">
        <v>654</v>
      </c>
      <c r="R92" s="382" t="s">
        <v>156</v>
      </c>
      <c r="S92" s="357">
        <v>3</v>
      </c>
      <c r="T92" s="371" t="s">
        <v>175</v>
      </c>
      <c r="U92" s="357" t="s">
        <v>176</v>
      </c>
      <c r="V92" s="357" t="s">
        <v>98</v>
      </c>
      <c r="W92" s="497" t="s">
        <v>159</v>
      </c>
      <c r="X92" s="432">
        <v>0</v>
      </c>
      <c r="Y92" s="432">
        <v>0.33</v>
      </c>
      <c r="Z92" s="432">
        <v>0.33</v>
      </c>
      <c r="AA92" s="444">
        <v>0.34</v>
      </c>
      <c r="AB92" s="525">
        <v>8.33</v>
      </c>
      <c r="AC92" s="413">
        <v>1.3333333333333333</v>
      </c>
      <c r="AD92" s="413">
        <v>0.47037033333333333</v>
      </c>
      <c r="AE92" s="413">
        <v>0.37727272727272726</v>
      </c>
      <c r="AF92" s="692">
        <f t="shared" si="57"/>
        <v>0</v>
      </c>
      <c r="AG92" s="693" t="s">
        <v>146</v>
      </c>
      <c r="AH92" s="698">
        <v>0</v>
      </c>
      <c r="AI92" s="697"/>
      <c r="AJ92" s="697"/>
      <c r="AK92" s="693"/>
      <c r="AL92" s="692">
        <f t="shared" si="37"/>
        <v>0</v>
      </c>
      <c r="AM92" s="697" t="s">
        <v>121</v>
      </c>
      <c r="AN92" s="693">
        <f t="shared" si="38"/>
        <v>0</v>
      </c>
      <c r="AO92" s="693">
        <f t="shared" si="39"/>
        <v>0</v>
      </c>
      <c r="AP92" s="693">
        <f t="shared" si="40"/>
        <v>0</v>
      </c>
      <c r="AQ92" s="693"/>
      <c r="AR92" s="401">
        <f t="shared" si="58"/>
        <v>0.33</v>
      </c>
      <c r="AS92" s="402" t="s">
        <v>100</v>
      </c>
      <c r="AT92" s="405">
        <f>1/1</f>
        <v>1</v>
      </c>
      <c r="AU92" s="406" t="s">
        <v>734</v>
      </c>
      <c r="AV92" s="406" t="s">
        <v>722</v>
      </c>
      <c r="AW92" s="729" t="str">
        <f t="shared" si="51"/>
        <v>ALTO</v>
      </c>
      <c r="AX92" s="397">
        <f t="shared" si="41"/>
        <v>0.33</v>
      </c>
      <c r="AY92" s="400" t="s">
        <v>714</v>
      </c>
      <c r="AZ92" s="398">
        <f t="shared" si="42"/>
        <v>2.7489000000000003</v>
      </c>
      <c r="BA92" s="398">
        <f t="shared" si="43"/>
        <v>0.44</v>
      </c>
      <c r="BB92" s="398">
        <f t="shared" si="44"/>
        <v>0.15522221</v>
      </c>
      <c r="BC92" s="15"/>
      <c r="BD92" s="14">
        <f t="shared" si="45"/>
        <v>0.33</v>
      </c>
      <c r="BE92" s="677" t="s">
        <v>100</v>
      </c>
      <c r="BF92" s="681">
        <v>1</v>
      </c>
      <c r="BG92" s="647" t="s">
        <v>735</v>
      </c>
      <c r="BH92" s="647" t="s">
        <v>736</v>
      </c>
      <c r="BI92" s="658" t="str">
        <f t="shared" si="63"/>
        <v>ALTO</v>
      </c>
      <c r="BJ92" s="681">
        <f t="shared" si="46"/>
        <v>0.33</v>
      </c>
      <c r="BK92" s="647" t="s">
        <v>737</v>
      </c>
      <c r="BL92" s="682">
        <f t="shared" si="64"/>
        <v>3.9615846338535418E-2</v>
      </c>
      <c r="BM92" s="682">
        <f t="shared" si="65"/>
        <v>0.24750000000000003</v>
      </c>
      <c r="BN92" s="682">
        <f t="shared" si="66"/>
        <v>0.70157485839172118</v>
      </c>
      <c r="BO92" s="658"/>
      <c r="BP92" s="853">
        <f t="shared" si="59"/>
        <v>0.34</v>
      </c>
      <c r="BQ92" s="854" t="s">
        <v>105</v>
      </c>
      <c r="BR92" s="855">
        <v>1</v>
      </c>
      <c r="BS92" s="858" t="s">
        <v>732</v>
      </c>
      <c r="BT92" s="857" t="s">
        <v>738</v>
      </c>
      <c r="BU92" s="905" t="str">
        <f t="shared" si="47"/>
        <v>ALTO</v>
      </c>
      <c r="BV92" s="875">
        <f t="shared" si="60"/>
        <v>0.34</v>
      </c>
      <c r="BW92" s="859" t="s">
        <v>180</v>
      </c>
      <c r="BX92" s="857">
        <f t="shared" si="67"/>
        <v>2.8322000000000003</v>
      </c>
      <c r="BY92" s="857">
        <f t="shared" si="68"/>
        <v>0.45333333333333337</v>
      </c>
      <c r="BZ92" s="857">
        <f t="shared" si="69"/>
        <v>0.15992591333333334</v>
      </c>
      <c r="CA92" s="857">
        <f t="shared" si="70"/>
        <v>0.12827272727272729</v>
      </c>
      <c r="CB92" s="16">
        <f t="shared" si="71"/>
        <v>0.67</v>
      </c>
      <c r="CC92" s="16">
        <f t="shared" si="72"/>
        <v>0.33</v>
      </c>
      <c r="CD92" s="16">
        <f t="shared" si="61"/>
        <v>1</v>
      </c>
      <c r="CE92" s="16">
        <f t="shared" si="62"/>
        <v>1</v>
      </c>
      <c r="CF92" s="16" t="e">
        <f>SUM(#REF!/(CC92+CB92))</f>
        <v>#REF!</v>
      </c>
      <c r="CG92" s="17"/>
      <c r="CH92" s="17"/>
      <c r="CI92" s="17"/>
      <c r="CJ92" s="17"/>
      <c r="CK92" s="3" t="s">
        <v>165</v>
      </c>
      <c r="CV92" s="346">
        <f t="shared" si="73"/>
        <v>1</v>
      </c>
    </row>
    <row r="93" spans="1:303" s="5" customFormat="1" ht="171" x14ac:dyDescent="0.25">
      <c r="A93" s="356" t="s">
        <v>79</v>
      </c>
      <c r="B93" s="356" t="s">
        <v>80</v>
      </c>
      <c r="C93" s="356" t="s">
        <v>81</v>
      </c>
      <c r="D93" s="356" t="s">
        <v>82</v>
      </c>
      <c r="E93" s="356" t="s">
        <v>83</v>
      </c>
      <c r="F93" s="356" t="s">
        <v>84</v>
      </c>
      <c r="G93" s="356" t="s">
        <v>85</v>
      </c>
      <c r="H93" s="356" t="s">
        <v>86</v>
      </c>
      <c r="I93" s="356" t="s">
        <v>87</v>
      </c>
      <c r="J93" s="356" t="s">
        <v>152</v>
      </c>
      <c r="K93" s="382" t="s">
        <v>651</v>
      </c>
      <c r="L93" s="382" t="s">
        <v>652</v>
      </c>
      <c r="M93" s="357" t="s">
        <v>181</v>
      </c>
      <c r="N93" s="367" t="s">
        <v>91</v>
      </c>
      <c r="O93" s="367" t="s">
        <v>154</v>
      </c>
      <c r="P93" s="930">
        <v>39542136.277533107</v>
      </c>
      <c r="Q93" s="368" t="s">
        <v>654</v>
      </c>
      <c r="R93" s="382" t="s">
        <v>739</v>
      </c>
      <c r="S93" s="371">
        <v>1</v>
      </c>
      <c r="T93" s="369" t="s">
        <v>182</v>
      </c>
      <c r="U93" s="357" t="s">
        <v>183</v>
      </c>
      <c r="V93" s="357" t="s">
        <v>98</v>
      </c>
      <c r="W93" s="497"/>
      <c r="X93" s="432">
        <v>0</v>
      </c>
      <c r="Y93" s="432"/>
      <c r="Z93" s="432">
        <v>0.5</v>
      </c>
      <c r="AA93" s="444">
        <v>0.5</v>
      </c>
      <c r="AB93" s="525">
        <v>8.33</v>
      </c>
      <c r="AC93" s="413">
        <v>1.3333333333333333</v>
      </c>
      <c r="AD93" s="413">
        <v>0.47037033333333333</v>
      </c>
      <c r="AE93" s="413">
        <v>0.37727272727272726</v>
      </c>
      <c r="AF93" s="692">
        <f t="shared" si="57"/>
        <v>0</v>
      </c>
      <c r="AG93" s="693" t="s">
        <v>146</v>
      </c>
      <c r="AH93" s="698">
        <v>0</v>
      </c>
      <c r="AI93" s="693"/>
      <c r="AJ93" s="693"/>
      <c r="AK93" s="693"/>
      <c r="AL93" s="692">
        <f t="shared" si="37"/>
        <v>0</v>
      </c>
      <c r="AM93" s="697" t="s">
        <v>121</v>
      </c>
      <c r="AN93" s="693">
        <f t="shared" si="38"/>
        <v>0</v>
      </c>
      <c r="AO93" s="693">
        <f t="shared" si="39"/>
        <v>0</v>
      </c>
      <c r="AP93" s="693">
        <f t="shared" si="40"/>
        <v>0</v>
      </c>
      <c r="AQ93" s="693"/>
      <c r="AR93" s="401">
        <f t="shared" si="58"/>
        <v>0</v>
      </c>
      <c r="AS93" s="402" t="s">
        <v>146</v>
      </c>
      <c r="AT93" s="405">
        <v>0</v>
      </c>
      <c r="AU93" s="406" t="s">
        <v>740</v>
      </c>
      <c r="AV93" s="406"/>
      <c r="AW93" s="729"/>
      <c r="AX93" s="397">
        <f t="shared" si="41"/>
        <v>0</v>
      </c>
      <c r="AY93" s="400" t="s">
        <v>741</v>
      </c>
      <c r="AZ93" s="398">
        <f t="shared" si="42"/>
        <v>0</v>
      </c>
      <c r="BA93" s="398">
        <f t="shared" si="43"/>
        <v>0</v>
      </c>
      <c r="BB93" s="398">
        <f t="shared" si="44"/>
        <v>0</v>
      </c>
      <c r="BC93" s="15"/>
      <c r="BD93" s="14">
        <f t="shared" si="45"/>
        <v>0.5</v>
      </c>
      <c r="BE93" s="677" t="s">
        <v>146</v>
      </c>
      <c r="BF93" s="681">
        <v>0</v>
      </c>
      <c r="BG93" s="647" t="s">
        <v>742</v>
      </c>
      <c r="BH93" s="647"/>
      <c r="BI93" s="658" t="str">
        <f t="shared" si="63"/>
        <v>BAJO</v>
      </c>
      <c r="BJ93" s="681">
        <f t="shared" si="46"/>
        <v>0</v>
      </c>
      <c r="BK93" s="658" t="s">
        <v>149</v>
      </c>
      <c r="BL93" s="682">
        <f t="shared" si="64"/>
        <v>0</v>
      </c>
      <c r="BM93" s="682">
        <f t="shared" si="65"/>
        <v>0</v>
      </c>
      <c r="BN93" s="682">
        <f t="shared" si="66"/>
        <v>0</v>
      </c>
      <c r="BO93" s="658"/>
      <c r="BP93" s="853">
        <f t="shared" si="59"/>
        <v>0.5</v>
      </c>
      <c r="BQ93" s="854" t="s">
        <v>105</v>
      </c>
      <c r="BR93" s="875">
        <v>1</v>
      </c>
      <c r="BS93" s="858" t="s">
        <v>742</v>
      </c>
      <c r="BT93" s="857"/>
      <c r="BU93" s="905" t="str">
        <f t="shared" si="47"/>
        <v>ALTO</v>
      </c>
      <c r="BV93" s="875">
        <f t="shared" si="60"/>
        <v>0.5</v>
      </c>
      <c r="BW93" s="862" t="s">
        <v>355</v>
      </c>
      <c r="BX93" s="857">
        <f t="shared" si="67"/>
        <v>4.165</v>
      </c>
      <c r="BY93" s="857">
        <f t="shared" si="68"/>
        <v>0.66666666666666663</v>
      </c>
      <c r="BZ93" s="857">
        <f t="shared" si="69"/>
        <v>0.23518516666666667</v>
      </c>
      <c r="CA93" s="857">
        <f t="shared" si="70"/>
        <v>0.18863636363636363</v>
      </c>
      <c r="CB93" s="16">
        <f t="shared" si="71"/>
        <v>1</v>
      </c>
      <c r="CC93" s="16">
        <f t="shared" si="72"/>
        <v>0</v>
      </c>
      <c r="CD93" s="16">
        <f t="shared" si="61"/>
        <v>1</v>
      </c>
      <c r="CE93" s="16">
        <f t="shared" si="62"/>
        <v>0.5</v>
      </c>
      <c r="CF93" s="16" t="e">
        <f>SUM(#REF!/(CC93+CB93))</f>
        <v>#REF!</v>
      </c>
      <c r="CG93" s="17"/>
      <c r="CH93" s="17"/>
      <c r="CI93" s="17"/>
      <c r="CJ93" s="17"/>
      <c r="CK93" s="3" t="s">
        <v>165</v>
      </c>
      <c r="CL93" s="1" t="s">
        <v>743</v>
      </c>
      <c r="CM93" s="1"/>
      <c r="CN93" s="1"/>
      <c r="CO93" s="1"/>
      <c r="CP93" s="1"/>
      <c r="CQ93" s="1"/>
      <c r="CR93" s="1"/>
      <c r="CS93" s="1"/>
      <c r="CT93" s="1"/>
      <c r="CU93" s="1"/>
      <c r="CV93" s="346">
        <f t="shared" si="73"/>
        <v>1</v>
      </c>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c r="GF93" s="1"/>
      <c r="GG93" s="1"/>
      <c r="GH93" s="1"/>
      <c r="GI93" s="1"/>
      <c r="GJ93" s="1"/>
      <c r="GK93" s="1"/>
      <c r="GL93" s="1"/>
      <c r="GM93" s="1"/>
      <c r="GN93" s="1"/>
      <c r="GO93" s="1"/>
      <c r="GP93" s="1"/>
      <c r="GQ93" s="1"/>
      <c r="GR93" s="1"/>
      <c r="GS93" s="1"/>
      <c r="GT93" s="1"/>
      <c r="GU93" s="1"/>
      <c r="GV93" s="1"/>
      <c r="GW93" s="1"/>
      <c r="GX93" s="1"/>
      <c r="GY93" s="1"/>
      <c r="GZ93" s="1"/>
      <c r="HA93" s="1"/>
      <c r="HB93" s="1"/>
      <c r="HC93" s="1"/>
      <c r="HD93" s="1"/>
      <c r="HE93" s="1"/>
      <c r="HF93" s="1"/>
      <c r="HG93" s="1"/>
      <c r="HH93" s="1"/>
      <c r="HI93" s="1"/>
      <c r="HJ93" s="1"/>
      <c r="HK93" s="1"/>
      <c r="HL93" s="1"/>
      <c r="HM93" s="1"/>
      <c r="HN93" s="1"/>
      <c r="HO93" s="1"/>
      <c r="HP93" s="1"/>
      <c r="HQ93" s="1"/>
      <c r="HR93" s="1"/>
      <c r="HS93" s="1"/>
      <c r="HT93" s="1"/>
      <c r="HU93" s="1"/>
      <c r="HV93" s="1"/>
      <c r="HW93" s="1"/>
      <c r="HX93" s="1"/>
      <c r="HY93" s="1"/>
      <c r="HZ93" s="1"/>
      <c r="IA93" s="1"/>
      <c r="IB93" s="1"/>
      <c r="IC93" s="1"/>
      <c r="ID93" s="1"/>
      <c r="IE93" s="1"/>
      <c r="IF93" s="1"/>
      <c r="IG93" s="1"/>
      <c r="IH93" s="1"/>
      <c r="II93" s="1"/>
      <c r="IJ93" s="1"/>
      <c r="IK93" s="1"/>
      <c r="IL93" s="1"/>
      <c r="IM93" s="1"/>
      <c r="IN93" s="1"/>
      <c r="IO93" s="1"/>
      <c r="IP93" s="1"/>
      <c r="IQ93" s="1"/>
      <c r="IR93" s="1"/>
      <c r="IS93" s="1"/>
      <c r="IT93" s="1"/>
      <c r="IU93" s="1"/>
      <c r="IV93" s="1"/>
      <c r="IW93" s="1"/>
      <c r="IX93" s="1"/>
      <c r="IY93" s="1"/>
      <c r="IZ93" s="1"/>
      <c r="JA93" s="1"/>
      <c r="JB93" s="1"/>
      <c r="JC93" s="1"/>
      <c r="JD93" s="1"/>
      <c r="JE93" s="1"/>
      <c r="JF93" s="1"/>
      <c r="JG93" s="1"/>
      <c r="JH93" s="1"/>
      <c r="JI93" s="1"/>
      <c r="JJ93" s="1"/>
      <c r="JK93" s="1"/>
      <c r="JL93" s="1"/>
      <c r="JM93" s="1"/>
      <c r="JN93" s="1"/>
      <c r="JO93" s="1"/>
      <c r="JP93" s="1"/>
      <c r="JQ93" s="1"/>
      <c r="JR93" s="1"/>
      <c r="JS93" s="1"/>
      <c r="JT93" s="1"/>
      <c r="JU93" s="1"/>
      <c r="JV93" s="1"/>
      <c r="JW93" s="1"/>
      <c r="JX93" s="1"/>
      <c r="JY93" s="1"/>
      <c r="JZ93" s="1"/>
      <c r="KA93" s="1"/>
      <c r="KB93" s="1"/>
      <c r="KC93" s="1"/>
      <c r="KD93" s="1"/>
      <c r="KE93" s="1"/>
      <c r="KF93" s="1"/>
      <c r="KG93" s="1"/>
      <c r="KH93" s="1"/>
      <c r="KI93" s="1"/>
      <c r="KJ93" s="1"/>
      <c r="KK93" s="1"/>
      <c r="KL93" s="1"/>
      <c r="KM93" s="1"/>
      <c r="KN93" s="1"/>
      <c r="KO93" s="1"/>
      <c r="KP93" s="1"/>
      <c r="KQ93" s="1"/>
    </row>
    <row r="94" spans="1:303" s="5" customFormat="1" ht="228" x14ac:dyDescent="0.25">
      <c r="A94" s="356" t="s">
        <v>79</v>
      </c>
      <c r="B94" s="356" t="s">
        <v>80</v>
      </c>
      <c r="C94" s="356" t="s">
        <v>81</v>
      </c>
      <c r="D94" s="356" t="s">
        <v>82</v>
      </c>
      <c r="E94" s="356" t="s">
        <v>83</v>
      </c>
      <c r="F94" s="356" t="s">
        <v>84</v>
      </c>
      <c r="G94" s="356" t="s">
        <v>85</v>
      </c>
      <c r="H94" s="356" t="s">
        <v>86</v>
      </c>
      <c r="I94" s="356" t="s">
        <v>87</v>
      </c>
      <c r="J94" s="356" t="s">
        <v>152</v>
      </c>
      <c r="K94" s="382" t="s">
        <v>651</v>
      </c>
      <c r="L94" s="382" t="s">
        <v>652</v>
      </c>
      <c r="M94" s="686" t="s">
        <v>633</v>
      </c>
      <c r="N94" s="367" t="s">
        <v>91</v>
      </c>
      <c r="O94" s="367" t="s">
        <v>154</v>
      </c>
      <c r="P94" s="916"/>
      <c r="Q94" s="382" t="s">
        <v>654</v>
      </c>
      <c r="R94" s="382" t="s">
        <v>156</v>
      </c>
      <c r="S94" s="378">
        <v>1</v>
      </c>
      <c r="T94" s="369" t="s">
        <v>191</v>
      </c>
      <c r="U94" s="357" t="s">
        <v>158</v>
      </c>
      <c r="V94" s="357" t="s">
        <v>98</v>
      </c>
      <c r="W94" s="497" t="s">
        <v>634</v>
      </c>
      <c r="X94" s="432">
        <v>0</v>
      </c>
      <c r="Y94" s="432">
        <v>0</v>
      </c>
      <c r="Z94" s="432">
        <v>0</v>
      </c>
      <c r="AA94" s="444">
        <v>0</v>
      </c>
      <c r="AB94" s="525"/>
      <c r="AC94" s="413"/>
      <c r="AD94" s="413"/>
      <c r="AE94" s="413">
        <v>0.37727272727272726</v>
      </c>
      <c r="AF94" s="692">
        <f t="shared" si="57"/>
        <v>0</v>
      </c>
      <c r="AG94" s="693" t="s">
        <v>146</v>
      </c>
      <c r="AH94" s="698">
        <v>0</v>
      </c>
      <c r="AI94" s="693"/>
      <c r="AJ94" s="693"/>
      <c r="AK94" s="693"/>
      <c r="AL94" s="692">
        <f t="shared" si="37"/>
        <v>0</v>
      </c>
      <c r="AM94" s="697" t="s">
        <v>121</v>
      </c>
      <c r="AN94" s="693">
        <f t="shared" si="38"/>
        <v>0</v>
      </c>
      <c r="AO94" s="693">
        <f t="shared" si="39"/>
        <v>0</v>
      </c>
      <c r="AP94" s="693">
        <f t="shared" si="40"/>
        <v>0</v>
      </c>
      <c r="AQ94" s="693"/>
      <c r="AR94" s="401">
        <f t="shared" si="58"/>
        <v>0</v>
      </c>
      <c r="AS94" s="402" t="s">
        <v>146</v>
      </c>
      <c r="AT94" s="405">
        <v>0</v>
      </c>
      <c r="AU94" s="406"/>
      <c r="AV94" s="406"/>
      <c r="AW94" s="729"/>
      <c r="AX94" s="397">
        <f t="shared" si="41"/>
        <v>0</v>
      </c>
      <c r="AY94" s="400" t="s">
        <v>121</v>
      </c>
      <c r="AZ94" s="398">
        <f t="shared" si="42"/>
        <v>0</v>
      </c>
      <c r="BA94" s="398">
        <f t="shared" si="43"/>
        <v>0</v>
      </c>
      <c r="BB94" s="398">
        <f t="shared" si="44"/>
        <v>0</v>
      </c>
      <c r="BC94" s="15"/>
      <c r="BD94" s="14">
        <f t="shared" si="45"/>
        <v>0</v>
      </c>
      <c r="BE94" s="677" t="s">
        <v>100</v>
      </c>
      <c r="BF94" s="681"/>
      <c r="BG94" s="647" t="s">
        <v>744</v>
      </c>
      <c r="BH94" s="647"/>
      <c r="BI94" s="658" t="str">
        <f t="shared" si="63"/>
        <v>BAJO</v>
      </c>
      <c r="BJ94" s="681">
        <f t="shared" si="46"/>
        <v>0</v>
      </c>
      <c r="BK94" s="658" t="s">
        <v>149</v>
      </c>
      <c r="BL94" s="682" t="e">
        <f t="shared" si="64"/>
        <v>#DIV/0!</v>
      </c>
      <c r="BM94" s="682" t="e">
        <f t="shared" si="65"/>
        <v>#DIV/0!</v>
      </c>
      <c r="BN94" s="682" t="e">
        <f t="shared" si="66"/>
        <v>#DIV/0!</v>
      </c>
      <c r="BO94" s="658"/>
      <c r="BP94" s="853">
        <f t="shared" si="59"/>
        <v>0</v>
      </c>
      <c r="BQ94" s="854" t="s">
        <v>105</v>
      </c>
      <c r="BR94" s="875">
        <v>1</v>
      </c>
      <c r="BS94" s="858" t="s">
        <v>745</v>
      </c>
      <c r="BT94" s="857"/>
      <c r="BU94" s="905" t="str">
        <f t="shared" si="47"/>
        <v>ALTO</v>
      </c>
      <c r="BV94" s="862">
        <f t="shared" si="60"/>
        <v>0</v>
      </c>
      <c r="BW94" s="862" t="s">
        <v>355</v>
      </c>
      <c r="BX94" s="857">
        <f t="shared" si="67"/>
        <v>0</v>
      </c>
      <c r="BY94" s="857">
        <f t="shared" si="68"/>
        <v>0</v>
      </c>
      <c r="BZ94" s="857">
        <f t="shared" si="69"/>
        <v>0</v>
      </c>
      <c r="CA94" s="857">
        <f t="shared" si="70"/>
        <v>0</v>
      </c>
      <c r="CB94" s="16">
        <f t="shared" si="71"/>
        <v>0</v>
      </c>
      <c r="CC94" s="16">
        <f t="shared" si="72"/>
        <v>0</v>
      </c>
      <c r="CD94" s="16"/>
      <c r="CE94" s="16"/>
      <c r="CF94" s="16" t="e">
        <f>SUM(#REF!/(CC94+CB94))</f>
        <v>#REF!</v>
      </c>
      <c r="CG94" s="17"/>
      <c r="CH94" s="17"/>
      <c r="CI94" s="17"/>
      <c r="CJ94" s="17"/>
      <c r="CK94" s="3" t="s">
        <v>165</v>
      </c>
      <c r="CL94" s="1"/>
      <c r="CM94" s="1"/>
      <c r="CN94" s="1"/>
      <c r="CO94" s="1"/>
      <c r="CP94" s="1"/>
      <c r="CQ94" s="1"/>
      <c r="CR94" s="1"/>
      <c r="CS94" s="1"/>
      <c r="CT94" s="1"/>
      <c r="CU94" s="1"/>
      <c r="CV94" s="346">
        <f t="shared" si="73"/>
        <v>0</v>
      </c>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c r="GF94" s="1"/>
      <c r="GG94" s="1"/>
      <c r="GH94" s="1"/>
      <c r="GI94" s="1"/>
      <c r="GJ94" s="1"/>
      <c r="GK94" s="1"/>
      <c r="GL94" s="1"/>
      <c r="GM94" s="1"/>
      <c r="GN94" s="1"/>
      <c r="GO94" s="1"/>
      <c r="GP94" s="1"/>
      <c r="GQ94" s="1"/>
      <c r="GR94" s="1"/>
      <c r="GS94" s="1"/>
      <c r="GT94" s="1"/>
      <c r="GU94" s="1"/>
      <c r="GV94" s="1"/>
      <c r="GW94" s="1"/>
      <c r="GX94" s="1"/>
      <c r="GY94" s="1"/>
      <c r="GZ94" s="1"/>
      <c r="HA94" s="1"/>
      <c r="HB94" s="1"/>
      <c r="HC94" s="1"/>
      <c r="HD94" s="1"/>
      <c r="HE94" s="1"/>
      <c r="HF94" s="1"/>
      <c r="HG94" s="1"/>
      <c r="HH94" s="1"/>
      <c r="HI94" s="1"/>
      <c r="HJ94" s="1"/>
      <c r="HK94" s="1"/>
      <c r="HL94" s="1"/>
      <c r="HM94" s="1"/>
      <c r="HN94" s="1"/>
      <c r="HO94" s="1"/>
      <c r="HP94" s="1"/>
      <c r="HQ94" s="1"/>
      <c r="HR94" s="1"/>
      <c r="HS94" s="1"/>
      <c r="HT94" s="1"/>
      <c r="HU94" s="1"/>
      <c r="HV94" s="1"/>
      <c r="HW94" s="1"/>
      <c r="HX94" s="1"/>
      <c r="HY94" s="1"/>
      <c r="HZ94" s="1"/>
      <c r="IA94" s="1"/>
      <c r="IB94" s="1"/>
      <c r="IC94" s="1"/>
      <c r="ID94" s="1"/>
      <c r="IE94" s="1"/>
      <c r="IF94" s="1"/>
      <c r="IG94" s="1"/>
      <c r="IH94" s="1"/>
      <c r="II94" s="1"/>
      <c r="IJ94" s="1"/>
      <c r="IK94" s="1"/>
      <c r="IL94" s="1"/>
      <c r="IM94" s="1"/>
      <c r="IN94" s="1"/>
      <c r="IO94" s="1"/>
      <c r="IP94" s="1"/>
      <c r="IQ94" s="1"/>
      <c r="IR94" s="1"/>
      <c r="IS94" s="1"/>
      <c r="IT94" s="1"/>
      <c r="IU94" s="1"/>
      <c r="IV94" s="1"/>
      <c r="IW94" s="1"/>
      <c r="IX94" s="1"/>
      <c r="IY94" s="1"/>
      <c r="IZ94" s="1"/>
      <c r="JA94" s="1"/>
      <c r="JB94" s="1"/>
      <c r="JC94" s="1"/>
      <c r="JD94" s="1"/>
      <c r="JE94" s="1"/>
      <c r="JF94" s="1"/>
      <c r="JG94" s="1"/>
      <c r="JH94" s="1"/>
      <c r="JI94" s="1"/>
      <c r="JJ94" s="1"/>
      <c r="JK94" s="1"/>
      <c r="JL94" s="1"/>
      <c r="JM94" s="1"/>
      <c r="JN94" s="1"/>
      <c r="JO94" s="1"/>
      <c r="JP94" s="1"/>
      <c r="JQ94" s="1"/>
      <c r="JR94" s="1"/>
      <c r="JS94" s="1"/>
      <c r="JT94" s="1"/>
      <c r="JU94" s="1"/>
      <c r="JV94" s="1"/>
      <c r="JW94" s="1"/>
      <c r="JX94" s="1"/>
      <c r="JY94" s="1"/>
      <c r="JZ94" s="1"/>
      <c r="KA94" s="1"/>
      <c r="KB94" s="1"/>
      <c r="KC94" s="1"/>
      <c r="KD94" s="1"/>
      <c r="KE94" s="1"/>
      <c r="KF94" s="1"/>
      <c r="KG94" s="1"/>
      <c r="KH94" s="1"/>
      <c r="KI94" s="1"/>
      <c r="KJ94" s="1"/>
      <c r="KK94" s="1"/>
      <c r="KL94" s="1"/>
      <c r="KM94" s="1"/>
      <c r="KN94" s="1"/>
      <c r="KO94" s="1"/>
      <c r="KP94" s="1"/>
      <c r="KQ94" s="1"/>
    </row>
    <row r="95" spans="1:303" s="5" customFormat="1" ht="171" x14ac:dyDescent="0.25">
      <c r="A95" s="356" t="s">
        <v>79</v>
      </c>
      <c r="B95" s="356" t="s">
        <v>80</v>
      </c>
      <c r="C95" s="356" t="s">
        <v>81</v>
      </c>
      <c r="D95" s="356" t="s">
        <v>82</v>
      </c>
      <c r="E95" s="356" t="s">
        <v>83</v>
      </c>
      <c r="F95" s="356" t="s">
        <v>84</v>
      </c>
      <c r="G95" s="356" t="s">
        <v>85</v>
      </c>
      <c r="H95" s="356" t="s">
        <v>86</v>
      </c>
      <c r="I95" s="356" t="s">
        <v>87</v>
      </c>
      <c r="J95" s="356" t="s">
        <v>152</v>
      </c>
      <c r="K95" s="382" t="s">
        <v>651</v>
      </c>
      <c r="L95" s="382" t="s">
        <v>652</v>
      </c>
      <c r="M95" s="357" t="s">
        <v>195</v>
      </c>
      <c r="N95" s="367" t="s">
        <v>91</v>
      </c>
      <c r="O95" s="367" t="s">
        <v>154</v>
      </c>
      <c r="P95" s="930">
        <v>39542136.277533107</v>
      </c>
      <c r="Q95" s="382" t="s">
        <v>654</v>
      </c>
      <c r="R95" s="382" t="s">
        <v>156</v>
      </c>
      <c r="S95" s="357">
        <v>7</v>
      </c>
      <c r="T95" s="369" t="s">
        <v>196</v>
      </c>
      <c r="U95" s="357" t="s">
        <v>158</v>
      </c>
      <c r="V95" s="370" t="s">
        <v>98</v>
      </c>
      <c r="W95" s="497" t="s">
        <v>197</v>
      </c>
      <c r="X95" s="432">
        <v>0</v>
      </c>
      <c r="Y95" s="432">
        <f>1/7</f>
        <v>0.14285714285714285</v>
      </c>
      <c r="Z95" s="432">
        <f>3/7</f>
        <v>0.42857142857142855</v>
      </c>
      <c r="AA95" s="444">
        <f>3/7</f>
        <v>0.42857142857142855</v>
      </c>
      <c r="AB95" s="525">
        <v>8.33</v>
      </c>
      <c r="AC95" s="413">
        <v>1.3333333333333333</v>
      </c>
      <c r="AD95" s="413">
        <v>0.47037033333333333</v>
      </c>
      <c r="AE95" s="413">
        <v>0.37727272727272726</v>
      </c>
      <c r="AF95" s="692">
        <f t="shared" si="57"/>
        <v>0</v>
      </c>
      <c r="AG95" s="693" t="s">
        <v>146</v>
      </c>
      <c r="AH95" s="698">
        <v>0</v>
      </c>
      <c r="AI95" s="693"/>
      <c r="AJ95" s="693"/>
      <c r="AK95" s="693"/>
      <c r="AL95" s="692">
        <f t="shared" si="37"/>
        <v>0</v>
      </c>
      <c r="AM95" s="697" t="s">
        <v>121</v>
      </c>
      <c r="AN95" s="693">
        <f t="shared" si="38"/>
        <v>0</v>
      </c>
      <c r="AO95" s="693">
        <f t="shared" si="39"/>
        <v>0</v>
      </c>
      <c r="AP95" s="693">
        <f t="shared" si="40"/>
        <v>0</v>
      </c>
      <c r="AQ95" s="693"/>
      <c r="AR95" s="401">
        <f t="shared" si="58"/>
        <v>0.14285714285714285</v>
      </c>
      <c r="AS95" s="402" t="s">
        <v>100</v>
      </c>
      <c r="AT95" s="405">
        <f>1/1</f>
        <v>1</v>
      </c>
      <c r="AU95" s="406" t="s">
        <v>746</v>
      </c>
      <c r="AV95" s="406"/>
      <c r="AW95" s="729" t="str">
        <f t="shared" si="51"/>
        <v>ALTO</v>
      </c>
      <c r="AX95" s="397">
        <f t="shared" si="41"/>
        <v>0.14285714285714285</v>
      </c>
      <c r="AY95" s="400" t="s">
        <v>714</v>
      </c>
      <c r="AZ95" s="398">
        <f t="shared" si="42"/>
        <v>1.19</v>
      </c>
      <c r="BA95" s="398">
        <f t="shared" si="43"/>
        <v>0.19047619047619047</v>
      </c>
      <c r="BB95" s="398">
        <f t="shared" si="44"/>
        <v>6.7195761904761897E-2</v>
      </c>
      <c r="BC95" s="15"/>
      <c r="BD95" s="14">
        <f t="shared" si="45"/>
        <v>0.42857142857142855</v>
      </c>
      <c r="BE95" s="677" t="s">
        <v>100</v>
      </c>
      <c r="BF95" s="681">
        <v>1</v>
      </c>
      <c r="BG95" s="647" t="s">
        <v>747</v>
      </c>
      <c r="BH95" s="647"/>
      <c r="BI95" s="658" t="str">
        <f t="shared" si="63"/>
        <v>ALTO</v>
      </c>
      <c r="BJ95" s="681">
        <f t="shared" si="46"/>
        <v>0.42857142857142855</v>
      </c>
      <c r="BK95" s="647" t="s">
        <v>645</v>
      </c>
      <c r="BL95" s="682">
        <f t="shared" si="64"/>
        <v>5.1449151089007029E-2</v>
      </c>
      <c r="BM95" s="682">
        <f t="shared" si="65"/>
        <v>0.32142857142857145</v>
      </c>
      <c r="BN95" s="682">
        <f t="shared" si="66"/>
        <v>0.91113617972950789</v>
      </c>
      <c r="BO95" s="658"/>
      <c r="BP95" s="853">
        <f t="shared" si="59"/>
        <v>0.42857142857142855</v>
      </c>
      <c r="BQ95" s="854" t="s">
        <v>105</v>
      </c>
      <c r="BR95" s="875">
        <v>0</v>
      </c>
      <c r="BS95" s="858" t="s">
        <v>748</v>
      </c>
      <c r="BT95" s="857"/>
      <c r="BU95" s="907" t="str">
        <f t="shared" si="47"/>
        <v>BAJO</v>
      </c>
      <c r="BV95" s="875">
        <f t="shared" si="60"/>
        <v>0</v>
      </c>
      <c r="BW95" s="862" t="s">
        <v>749</v>
      </c>
      <c r="BX95" s="857">
        <f t="shared" si="67"/>
        <v>0</v>
      </c>
      <c r="BY95" s="857">
        <f t="shared" si="68"/>
        <v>0</v>
      </c>
      <c r="BZ95" s="857">
        <f t="shared" si="69"/>
        <v>0</v>
      </c>
      <c r="CA95" s="857">
        <f t="shared" si="70"/>
        <v>0</v>
      </c>
      <c r="CB95" s="16">
        <f t="shared" si="71"/>
        <v>0.8571428571428571</v>
      </c>
      <c r="CC95" s="16">
        <f t="shared" si="72"/>
        <v>0.14285714285714285</v>
      </c>
      <c r="CD95" s="16">
        <f t="shared" ref="CD95:CD140" si="74">SUM(X95+Y95+Z95+AA95)</f>
        <v>1</v>
      </c>
      <c r="CE95" s="16">
        <f t="shared" ref="CE95:CE140" si="75">SUM(AL95+AX95+BJ95+BV95)</f>
        <v>0.5714285714285714</v>
      </c>
      <c r="CF95" s="16" t="e">
        <f>SUM(#REF!/(CC95+CB95))</f>
        <v>#REF!</v>
      </c>
      <c r="CG95" s="17"/>
      <c r="CH95" s="17"/>
      <c r="CI95" s="17"/>
      <c r="CJ95" s="17"/>
      <c r="CK95" s="3" t="s">
        <v>165</v>
      </c>
      <c r="CL95" s="1"/>
      <c r="CM95" s="1"/>
      <c r="CN95" s="1"/>
      <c r="CO95" s="1"/>
      <c r="CP95" s="1"/>
      <c r="CQ95" s="1"/>
      <c r="CR95" s="1"/>
      <c r="CS95" s="1"/>
      <c r="CT95" s="1"/>
      <c r="CU95" s="1"/>
      <c r="CV95" s="346">
        <f t="shared" si="73"/>
        <v>1</v>
      </c>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c r="GF95" s="1"/>
      <c r="GG95" s="1"/>
      <c r="GH95" s="1"/>
      <c r="GI95" s="1"/>
      <c r="GJ95" s="1"/>
      <c r="GK95" s="1"/>
      <c r="GL95" s="1"/>
      <c r="GM95" s="1"/>
      <c r="GN95" s="1"/>
      <c r="GO95" s="1"/>
      <c r="GP95" s="1"/>
      <c r="GQ95" s="1"/>
      <c r="GR95" s="1"/>
      <c r="GS95" s="1"/>
      <c r="GT95" s="1"/>
      <c r="GU95" s="1"/>
      <c r="GV95" s="1"/>
      <c r="GW95" s="1"/>
      <c r="GX95" s="1"/>
      <c r="GY95" s="1"/>
      <c r="GZ95" s="1"/>
      <c r="HA95" s="1"/>
      <c r="HB95" s="1"/>
      <c r="HC95" s="1"/>
      <c r="HD95" s="1"/>
      <c r="HE95" s="1"/>
      <c r="HF95" s="1"/>
      <c r="HG95" s="1"/>
      <c r="HH95" s="1"/>
      <c r="HI95" s="1"/>
      <c r="HJ95" s="1"/>
      <c r="HK95" s="1"/>
      <c r="HL95" s="1"/>
      <c r="HM95" s="1"/>
      <c r="HN95" s="1"/>
      <c r="HO95" s="1"/>
      <c r="HP95" s="1"/>
      <c r="HQ95" s="1"/>
      <c r="HR95" s="1"/>
      <c r="HS95" s="1"/>
      <c r="HT95" s="1"/>
      <c r="HU95" s="1"/>
      <c r="HV95" s="1"/>
      <c r="HW95" s="1"/>
      <c r="HX95" s="1"/>
      <c r="HY95" s="1"/>
      <c r="HZ95" s="1"/>
      <c r="IA95" s="1"/>
      <c r="IB95" s="1"/>
      <c r="IC95" s="1"/>
      <c r="ID95" s="1"/>
      <c r="IE95" s="1"/>
      <c r="IF95" s="1"/>
      <c r="IG95" s="1"/>
      <c r="IH95" s="1"/>
      <c r="II95" s="1"/>
      <c r="IJ95" s="1"/>
      <c r="IK95" s="1"/>
      <c r="IL95" s="1"/>
      <c r="IM95" s="1"/>
      <c r="IN95" s="1"/>
      <c r="IO95" s="1"/>
      <c r="IP95" s="1"/>
      <c r="IQ95" s="1"/>
      <c r="IR95" s="1"/>
      <c r="IS95" s="1"/>
      <c r="IT95" s="1"/>
      <c r="IU95" s="1"/>
      <c r="IV95" s="1"/>
      <c r="IW95" s="1"/>
      <c r="IX95" s="1"/>
      <c r="IY95" s="1"/>
      <c r="IZ95" s="1"/>
      <c r="JA95" s="1"/>
      <c r="JB95" s="1"/>
      <c r="JC95" s="1"/>
      <c r="JD95" s="1"/>
      <c r="JE95" s="1"/>
      <c r="JF95" s="1"/>
      <c r="JG95" s="1"/>
      <c r="JH95" s="1"/>
      <c r="JI95" s="1"/>
      <c r="JJ95" s="1"/>
      <c r="JK95" s="1"/>
      <c r="JL95" s="1"/>
      <c r="JM95" s="1"/>
      <c r="JN95" s="1"/>
      <c r="JO95" s="1"/>
      <c r="JP95" s="1"/>
      <c r="JQ95" s="1"/>
      <c r="JR95" s="1"/>
      <c r="JS95" s="1"/>
      <c r="JT95" s="1"/>
      <c r="JU95" s="1"/>
      <c r="JV95" s="1"/>
      <c r="JW95" s="1"/>
      <c r="JX95" s="1"/>
      <c r="JY95" s="1"/>
      <c r="JZ95" s="1"/>
      <c r="KA95" s="1"/>
      <c r="KB95" s="1"/>
      <c r="KC95" s="1"/>
      <c r="KD95" s="1"/>
      <c r="KE95" s="1"/>
      <c r="KF95" s="1"/>
      <c r="KG95" s="1"/>
      <c r="KH95" s="1"/>
      <c r="KI95" s="1"/>
      <c r="KJ95" s="1"/>
      <c r="KK95" s="1"/>
      <c r="KL95" s="1"/>
      <c r="KM95" s="1"/>
      <c r="KN95" s="1"/>
      <c r="KO95" s="1"/>
      <c r="KP95" s="1"/>
      <c r="KQ95" s="1"/>
    </row>
    <row r="96" spans="1:303" s="5" customFormat="1" ht="171" x14ac:dyDescent="0.25">
      <c r="A96" s="356" t="s">
        <v>79</v>
      </c>
      <c r="B96" s="356" t="s">
        <v>80</v>
      </c>
      <c r="C96" s="356" t="s">
        <v>81</v>
      </c>
      <c r="D96" s="356" t="s">
        <v>82</v>
      </c>
      <c r="E96" s="356" t="s">
        <v>83</v>
      </c>
      <c r="F96" s="356" t="s">
        <v>84</v>
      </c>
      <c r="G96" s="356" t="s">
        <v>85</v>
      </c>
      <c r="H96" s="356" t="s">
        <v>86</v>
      </c>
      <c r="I96" s="356" t="s">
        <v>87</v>
      </c>
      <c r="J96" s="356" t="s">
        <v>152</v>
      </c>
      <c r="K96" s="382" t="s">
        <v>651</v>
      </c>
      <c r="L96" s="382" t="s">
        <v>652</v>
      </c>
      <c r="M96" s="357" t="s">
        <v>201</v>
      </c>
      <c r="N96" s="367" t="s">
        <v>91</v>
      </c>
      <c r="O96" s="367" t="s">
        <v>202</v>
      </c>
      <c r="P96" s="930">
        <v>39542136.277533107</v>
      </c>
      <c r="Q96" s="382" t="s">
        <v>654</v>
      </c>
      <c r="R96" s="382" t="s">
        <v>156</v>
      </c>
      <c r="S96" s="378">
        <v>1</v>
      </c>
      <c r="T96" s="369" t="s">
        <v>203</v>
      </c>
      <c r="U96" s="357" t="s">
        <v>204</v>
      </c>
      <c r="V96" s="357" t="s">
        <v>98</v>
      </c>
      <c r="W96" s="497" t="s">
        <v>205</v>
      </c>
      <c r="X96" s="432">
        <v>0</v>
      </c>
      <c r="Y96" s="432">
        <v>0</v>
      </c>
      <c r="Z96" s="432">
        <v>0</v>
      </c>
      <c r="AA96" s="444">
        <v>1</v>
      </c>
      <c r="AB96" s="525">
        <v>8.33</v>
      </c>
      <c r="AC96" s="413">
        <v>1.3333333333333333</v>
      </c>
      <c r="AD96" s="413">
        <v>0.47037033333333333</v>
      </c>
      <c r="AE96" s="413">
        <v>0.37727272727272726</v>
      </c>
      <c r="AF96" s="692">
        <f t="shared" si="57"/>
        <v>0</v>
      </c>
      <c r="AG96" s="693" t="s">
        <v>146</v>
      </c>
      <c r="AH96" s="698">
        <v>0</v>
      </c>
      <c r="AI96" s="706"/>
      <c r="AJ96" s="693"/>
      <c r="AK96" s="693"/>
      <c r="AL96" s="692">
        <f t="shared" si="37"/>
        <v>0</v>
      </c>
      <c r="AM96" s="697" t="s">
        <v>121</v>
      </c>
      <c r="AN96" s="693">
        <f t="shared" si="38"/>
        <v>0</v>
      </c>
      <c r="AO96" s="693">
        <f t="shared" si="39"/>
        <v>0</v>
      </c>
      <c r="AP96" s="693">
        <f t="shared" si="40"/>
        <v>0</v>
      </c>
      <c r="AQ96" s="693"/>
      <c r="AR96" s="401">
        <f t="shared" si="58"/>
        <v>0</v>
      </c>
      <c r="AS96" s="402" t="s">
        <v>146</v>
      </c>
      <c r="AT96" s="405">
        <v>0</v>
      </c>
      <c r="AU96" s="406"/>
      <c r="AV96" s="552"/>
      <c r="AW96" s="729"/>
      <c r="AX96" s="397">
        <f t="shared" si="41"/>
        <v>0</v>
      </c>
      <c r="AY96" s="400" t="s">
        <v>121</v>
      </c>
      <c r="AZ96" s="398">
        <f t="shared" si="42"/>
        <v>0</v>
      </c>
      <c r="BA96" s="398">
        <f t="shared" si="43"/>
        <v>0</v>
      </c>
      <c r="BB96" s="398">
        <f t="shared" si="44"/>
        <v>0</v>
      </c>
      <c r="BC96" s="15"/>
      <c r="BD96" s="14">
        <f t="shared" si="45"/>
        <v>0</v>
      </c>
      <c r="BE96" s="677" t="s">
        <v>146</v>
      </c>
      <c r="BF96" s="681"/>
      <c r="BG96" s="658"/>
      <c r="BH96" s="658"/>
      <c r="BI96" s="658" t="str">
        <f t="shared" si="63"/>
        <v>BAJO</v>
      </c>
      <c r="BJ96" s="681">
        <f t="shared" si="46"/>
        <v>0</v>
      </c>
      <c r="BK96" s="658" t="s">
        <v>149</v>
      </c>
      <c r="BL96" s="682">
        <f t="shared" si="64"/>
        <v>0</v>
      </c>
      <c r="BM96" s="682">
        <f t="shared" si="65"/>
        <v>0</v>
      </c>
      <c r="BN96" s="682">
        <f t="shared" si="66"/>
        <v>0</v>
      </c>
      <c r="BO96" s="658"/>
      <c r="BP96" s="853">
        <f t="shared" ref="BP96:BP129" si="76">AA96</f>
        <v>1</v>
      </c>
      <c r="BQ96" s="854" t="s">
        <v>105</v>
      </c>
      <c r="BR96" s="875">
        <v>1</v>
      </c>
      <c r="BS96" s="858" t="s">
        <v>750</v>
      </c>
      <c r="BT96" s="857"/>
      <c r="BU96" s="905" t="str">
        <f t="shared" si="47"/>
        <v>ALTO</v>
      </c>
      <c r="BV96" s="875">
        <f t="shared" si="60"/>
        <v>1</v>
      </c>
      <c r="BW96" s="862" t="s">
        <v>751</v>
      </c>
      <c r="BX96" s="857">
        <f t="shared" si="67"/>
        <v>8.33</v>
      </c>
      <c r="BY96" s="857">
        <f t="shared" si="68"/>
        <v>1.3333333333333333</v>
      </c>
      <c r="BZ96" s="857">
        <f t="shared" si="69"/>
        <v>0.47037033333333333</v>
      </c>
      <c r="CA96" s="857">
        <f t="shared" si="70"/>
        <v>0.37727272727272726</v>
      </c>
      <c r="CB96" s="16">
        <f t="shared" si="71"/>
        <v>1</v>
      </c>
      <c r="CC96" s="16">
        <f t="shared" si="72"/>
        <v>0</v>
      </c>
      <c r="CD96" s="16">
        <f t="shared" si="74"/>
        <v>1</v>
      </c>
      <c r="CE96" s="16">
        <f t="shared" si="75"/>
        <v>1</v>
      </c>
      <c r="CF96" s="16" t="e">
        <f>SUM(#REF!/(CC96+CB96))</f>
        <v>#REF!</v>
      </c>
      <c r="CG96" s="17"/>
      <c r="CH96" s="17"/>
      <c r="CI96" s="17"/>
      <c r="CJ96" s="17"/>
      <c r="CK96" s="3" t="s">
        <v>165</v>
      </c>
      <c r="CL96" s="1"/>
      <c r="CM96" s="1"/>
      <c r="CN96" s="1"/>
      <c r="CO96" s="1"/>
      <c r="CP96" s="1"/>
      <c r="CQ96" s="1"/>
      <c r="CR96" s="1"/>
      <c r="CS96" s="1"/>
      <c r="CT96" s="1"/>
      <c r="CU96" s="1"/>
      <c r="CV96" s="346">
        <f t="shared" si="73"/>
        <v>1</v>
      </c>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c r="GF96" s="1"/>
      <c r="GG96" s="1"/>
      <c r="GH96" s="1"/>
      <c r="GI96" s="1"/>
      <c r="GJ96" s="1"/>
      <c r="GK96" s="1"/>
      <c r="GL96" s="1"/>
      <c r="GM96" s="1"/>
      <c r="GN96" s="1"/>
      <c r="GO96" s="1"/>
      <c r="GP96" s="1"/>
      <c r="GQ96" s="1"/>
      <c r="GR96" s="1"/>
      <c r="GS96" s="1"/>
      <c r="GT96" s="1"/>
      <c r="GU96" s="1"/>
      <c r="GV96" s="1"/>
      <c r="GW96" s="1"/>
      <c r="GX96" s="1"/>
      <c r="GY96" s="1"/>
      <c r="GZ96" s="1"/>
      <c r="HA96" s="1"/>
      <c r="HB96" s="1"/>
      <c r="HC96" s="1"/>
      <c r="HD96" s="1"/>
      <c r="HE96" s="1"/>
      <c r="HF96" s="1"/>
      <c r="HG96" s="1"/>
      <c r="HH96" s="1"/>
      <c r="HI96" s="1"/>
      <c r="HJ96" s="1"/>
      <c r="HK96" s="1"/>
      <c r="HL96" s="1"/>
      <c r="HM96" s="1"/>
      <c r="HN96" s="1"/>
      <c r="HO96" s="1"/>
      <c r="HP96" s="1"/>
      <c r="HQ96" s="1"/>
      <c r="HR96" s="1"/>
      <c r="HS96" s="1"/>
      <c r="HT96" s="1"/>
      <c r="HU96" s="1"/>
      <c r="HV96" s="1"/>
      <c r="HW96" s="1"/>
      <c r="HX96" s="1"/>
      <c r="HY96" s="1"/>
      <c r="HZ96" s="1"/>
      <c r="IA96" s="1"/>
      <c r="IB96" s="1"/>
      <c r="IC96" s="1"/>
      <c r="ID96" s="1"/>
      <c r="IE96" s="1"/>
      <c r="IF96" s="1"/>
      <c r="IG96" s="1"/>
      <c r="IH96" s="1"/>
      <c r="II96" s="1"/>
      <c r="IJ96" s="1"/>
      <c r="IK96" s="1"/>
      <c r="IL96" s="1"/>
      <c r="IM96" s="1"/>
      <c r="IN96" s="1"/>
      <c r="IO96" s="1"/>
      <c r="IP96" s="1"/>
      <c r="IQ96" s="1"/>
      <c r="IR96" s="1"/>
      <c r="IS96" s="1"/>
      <c r="IT96" s="1"/>
      <c r="IU96" s="1"/>
      <c r="IV96" s="1"/>
      <c r="IW96" s="1"/>
      <c r="IX96" s="1"/>
      <c r="IY96" s="1"/>
      <c r="IZ96" s="1"/>
      <c r="JA96" s="1"/>
      <c r="JB96" s="1"/>
      <c r="JC96" s="1"/>
      <c r="JD96" s="1"/>
      <c r="JE96" s="1"/>
      <c r="JF96" s="1"/>
      <c r="JG96" s="1"/>
      <c r="JH96" s="1"/>
      <c r="JI96" s="1"/>
      <c r="JJ96" s="1"/>
      <c r="JK96" s="1"/>
      <c r="JL96" s="1"/>
      <c r="JM96" s="1"/>
      <c r="JN96" s="1"/>
      <c r="JO96" s="1"/>
      <c r="JP96" s="1"/>
      <c r="JQ96" s="1"/>
      <c r="JR96" s="1"/>
      <c r="JS96" s="1"/>
      <c r="JT96" s="1"/>
      <c r="JU96" s="1"/>
      <c r="JV96" s="1"/>
      <c r="JW96" s="1"/>
      <c r="JX96" s="1"/>
      <c r="JY96" s="1"/>
      <c r="JZ96" s="1"/>
      <c r="KA96" s="1"/>
      <c r="KB96" s="1"/>
      <c r="KC96" s="1"/>
      <c r="KD96" s="1"/>
      <c r="KE96" s="1"/>
      <c r="KF96" s="1"/>
      <c r="KG96" s="1"/>
      <c r="KH96" s="1"/>
      <c r="KI96" s="1"/>
      <c r="KJ96" s="1"/>
      <c r="KK96" s="1"/>
      <c r="KL96" s="1"/>
      <c r="KM96" s="1"/>
      <c r="KN96" s="1"/>
      <c r="KO96" s="1"/>
      <c r="KP96" s="1"/>
      <c r="KQ96" s="1"/>
    </row>
    <row r="97" spans="1:303" s="1" customFormat="1" ht="171" x14ac:dyDescent="0.25">
      <c r="A97" s="354" t="s">
        <v>79</v>
      </c>
      <c r="B97" s="354" t="s">
        <v>80</v>
      </c>
      <c r="C97" s="354" t="s">
        <v>81</v>
      </c>
      <c r="D97" s="354" t="s">
        <v>82</v>
      </c>
      <c r="E97" s="354" t="s">
        <v>83</v>
      </c>
      <c r="F97" s="354" t="s">
        <v>84</v>
      </c>
      <c r="G97" s="354" t="s">
        <v>85</v>
      </c>
      <c r="H97" s="354" t="s">
        <v>640</v>
      </c>
      <c r="I97" s="354" t="s">
        <v>681</v>
      </c>
      <c r="J97" s="354" t="s">
        <v>752</v>
      </c>
      <c r="K97" s="383" t="s">
        <v>753</v>
      </c>
      <c r="L97" s="383" t="s">
        <v>652</v>
      </c>
      <c r="M97" s="687" t="s">
        <v>754</v>
      </c>
      <c r="N97" s="361" t="s">
        <v>444</v>
      </c>
      <c r="O97" s="361" t="s">
        <v>445</v>
      </c>
      <c r="P97" s="389">
        <v>155125000</v>
      </c>
      <c r="Q97" s="364" t="s">
        <v>654</v>
      </c>
      <c r="R97" s="364" t="s">
        <v>213</v>
      </c>
      <c r="S97" s="20">
        <v>1</v>
      </c>
      <c r="T97" s="384" t="s">
        <v>755</v>
      </c>
      <c r="U97" s="348" t="s">
        <v>756</v>
      </c>
      <c r="V97" s="348" t="s">
        <v>98</v>
      </c>
      <c r="W97" s="355" t="s">
        <v>757</v>
      </c>
      <c r="X97" s="430">
        <v>0</v>
      </c>
      <c r="Y97" s="441">
        <v>0.2</v>
      </c>
      <c r="Z97" s="441">
        <v>0.4</v>
      </c>
      <c r="AA97" s="522">
        <v>0.4</v>
      </c>
      <c r="AB97" s="525">
        <v>6.25</v>
      </c>
      <c r="AC97" s="413">
        <v>1.3333333333333333</v>
      </c>
      <c r="AD97" s="413">
        <v>0.35277775</v>
      </c>
      <c r="AE97" s="413">
        <v>0.36666666666666664</v>
      </c>
      <c r="AF97" s="692">
        <f t="shared" si="57"/>
        <v>0</v>
      </c>
      <c r="AG97" s="693" t="s">
        <v>146</v>
      </c>
      <c r="AH97" s="698">
        <v>0</v>
      </c>
      <c r="AI97" s="697"/>
      <c r="AJ97" s="697" t="s">
        <v>758</v>
      </c>
      <c r="AK97" s="693"/>
      <c r="AL97" s="692">
        <f t="shared" ref="AL97:AL160" si="77">AF97*AH97</f>
        <v>0</v>
      </c>
      <c r="AM97" s="697" t="s">
        <v>121</v>
      </c>
      <c r="AN97" s="693">
        <f t="shared" ref="AN97:AN160" si="78">AL97*AB97</f>
        <v>0</v>
      </c>
      <c r="AO97" s="693">
        <f t="shared" ref="AO97:AO160" si="79">AL97*AC97</f>
        <v>0</v>
      </c>
      <c r="AP97" s="693">
        <f t="shared" ref="AP97:AP160" si="80">AL97*AD97</f>
        <v>0</v>
      </c>
      <c r="AQ97" s="693"/>
      <c r="AR97" s="401">
        <f t="shared" si="58"/>
        <v>0.2</v>
      </c>
      <c r="AS97" s="402" t="s">
        <v>100</v>
      </c>
      <c r="AT97" s="625">
        <v>0</v>
      </c>
      <c r="AU97" s="626" t="s">
        <v>759</v>
      </c>
      <c r="AV97" s="626" t="s">
        <v>760</v>
      </c>
      <c r="AW97" s="729" t="str">
        <f t="shared" ref="AW97:AW160" si="81">+IF(AND(AT97&gt;=0%,AT97&lt;=60%),"BAJO",IF(AND(AT97&gt;=61%,AT97&lt;=80%),"MEDIO","ALTO"))</f>
        <v>BAJO</v>
      </c>
      <c r="AX97" s="397">
        <f t="shared" ref="AX97:AX160" si="82">AR97*AT97</f>
        <v>0</v>
      </c>
      <c r="AY97" s="399" t="s">
        <v>761</v>
      </c>
      <c r="AZ97" s="398">
        <f t="shared" ref="AZ97:AZ160" si="83">AX97*AB97</f>
        <v>0</v>
      </c>
      <c r="BA97" s="398">
        <f t="shared" ref="BA97:BA160" si="84">AX97*AC97</f>
        <v>0</v>
      </c>
      <c r="BB97" s="398">
        <f t="shared" ref="BB97:BB160" si="85">AX97*AD97</f>
        <v>0</v>
      </c>
      <c r="BC97" s="15"/>
      <c r="BD97" s="14">
        <f t="shared" ref="BD97:BD160" si="86">Z97</f>
        <v>0.4</v>
      </c>
      <c r="BE97" s="759" t="s">
        <v>100</v>
      </c>
      <c r="BF97" s="679">
        <f>20/20</f>
        <v>1</v>
      </c>
      <c r="BG97" s="647" t="s">
        <v>762</v>
      </c>
      <c r="BH97" s="680" t="s">
        <v>763</v>
      </c>
      <c r="BI97" s="658" t="str">
        <f t="shared" si="63"/>
        <v>ALTO</v>
      </c>
      <c r="BJ97" s="681">
        <f t="shared" ref="BJ97:BJ160" si="87">BD97*BF97</f>
        <v>0.4</v>
      </c>
      <c r="BK97" s="647" t="s">
        <v>764</v>
      </c>
      <c r="BL97" s="682">
        <f t="shared" si="64"/>
        <v>6.4000000000000001E-2</v>
      </c>
      <c r="BM97" s="682">
        <f t="shared" si="65"/>
        <v>0.30000000000000004</v>
      </c>
      <c r="BN97" s="682">
        <f t="shared" si="66"/>
        <v>1.1338583569967211</v>
      </c>
      <c r="BO97" s="658"/>
      <c r="BP97" s="853">
        <f t="shared" si="76"/>
        <v>0.4</v>
      </c>
      <c r="BQ97" s="854" t="s">
        <v>105</v>
      </c>
      <c r="BR97" s="876">
        <f>90/100</f>
        <v>0.9</v>
      </c>
      <c r="BS97" s="877" t="s">
        <v>765</v>
      </c>
      <c r="BT97" s="877" t="s">
        <v>766</v>
      </c>
      <c r="BU97" s="905" t="str">
        <f t="shared" ref="BU97:BU160" si="88">+IF(AND(BR97&gt;=0%,BR97&lt;=60%),"BAJO",IF(AND(BR97&gt;=61%,BR97&lt;=80%),"MEDIO","ALTO"))</f>
        <v>ALTO</v>
      </c>
      <c r="BV97" s="875">
        <f t="shared" ref="BV97:BV140" si="89">BP97*BR97</f>
        <v>0.36000000000000004</v>
      </c>
      <c r="BW97" s="874" t="s">
        <v>767</v>
      </c>
      <c r="BX97" s="857">
        <f t="shared" si="67"/>
        <v>2.2500000000000004</v>
      </c>
      <c r="BY97" s="857">
        <f t="shared" si="68"/>
        <v>0.48000000000000004</v>
      </c>
      <c r="BZ97" s="857">
        <f t="shared" si="69"/>
        <v>0.12699999000000001</v>
      </c>
      <c r="CA97" s="857">
        <f t="shared" si="70"/>
        <v>0.13200000000000001</v>
      </c>
      <c r="CB97" s="16">
        <f t="shared" si="71"/>
        <v>0.8</v>
      </c>
      <c r="CC97" s="16">
        <f t="shared" si="72"/>
        <v>0.2</v>
      </c>
      <c r="CD97" s="16">
        <f t="shared" si="74"/>
        <v>1</v>
      </c>
      <c r="CE97" s="16">
        <f t="shared" si="75"/>
        <v>0.76</v>
      </c>
      <c r="CF97" s="16" t="e">
        <f>SUM(#REF!/(CC97+CB97))</f>
        <v>#REF!</v>
      </c>
      <c r="CG97" s="17"/>
      <c r="CH97" s="17"/>
      <c r="CI97" s="17"/>
      <c r="CJ97" s="17"/>
      <c r="CV97" s="346">
        <f t="shared" si="73"/>
        <v>1</v>
      </c>
    </row>
    <row r="98" spans="1:303" s="1" customFormat="1" ht="171" x14ac:dyDescent="0.25">
      <c r="A98" s="354" t="s">
        <v>79</v>
      </c>
      <c r="B98" s="354" t="s">
        <v>80</v>
      </c>
      <c r="C98" s="354" t="s">
        <v>81</v>
      </c>
      <c r="D98" s="354" t="s">
        <v>82</v>
      </c>
      <c r="E98" s="354" t="s">
        <v>83</v>
      </c>
      <c r="F98" s="354" t="s">
        <v>84</v>
      </c>
      <c r="G98" s="354" t="s">
        <v>85</v>
      </c>
      <c r="H98" s="354" t="s">
        <v>640</v>
      </c>
      <c r="I98" s="354" t="s">
        <v>681</v>
      </c>
      <c r="J98" s="354" t="s">
        <v>752</v>
      </c>
      <c r="K98" s="383" t="s">
        <v>753</v>
      </c>
      <c r="L98" s="383" t="s">
        <v>652</v>
      </c>
      <c r="M98" s="687" t="s">
        <v>768</v>
      </c>
      <c r="N98" s="361" t="s">
        <v>444</v>
      </c>
      <c r="O98" s="361" t="s">
        <v>445</v>
      </c>
      <c r="P98" s="389">
        <v>155125000</v>
      </c>
      <c r="Q98" s="364" t="s">
        <v>654</v>
      </c>
      <c r="R98" s="364" t="s">
        <v>213</v>
      </c>
      <c r="S98" s="360">
        <v>294</v>
      </c>
      <c r="T98" s="384" t="s">
        <v>769</v>
      </c>
      <c r="U98" s="348" t="s">
        <v>770</v>
      </c>
      <c r="V98" s="348" t="s">
        <v>771</v>
      </c>
      <c r="W98" s="355" t="s">
        <v>772</v>
      </c>
      <c r="X98" s="441">
        <v>7.0000000000000007E-2</v>
      </c>
      <c r="Y98" s="441">
        <v>0.31</v>
      </c>
      <c r="Z98" s="441">
        <v>0.31</v>
      </c>
      <c r="AA98" s="522">
        <v>0.31</v>
      </c>
      <c r="AB98" s="525">
        <v>6.25</v>
      </c>
      <c r="AC98" s="413">
        <v>1.3333333333333333</v>
      </c>
      <c r="AD98" s="413">
        <v>0.35277775</v>
      </c>
      <c r="AE98" s="413">
        <v>0.36666666666666664</v>
      </c>
      <c r="AF98" s="692">
        <f t="shared" si="57"/>
        <v>7.0000000000000007E-2</v>
      </c>
      <c r="AG98" s="693" t="s">
        <v>100</v>
      </c>
      <c r="AH98" s="707">
        <f>21/21</f>
        <v>1</v>
      </c>
      <c r="AI98" s="697" t="s">
        <v>773</v>
      </c>
      <c r="AJ98" s="697" t="s">
        <v>760</v>
      </c>
      <c r="AK98" s="693" t="str">
        <f>+IF(AND(AH98&gt;=0%,AH98&lt;=60%),"BAJO",IF(AND(AH98&gt;=61%,AH98&lt;=80%),"MEDIO","ALTO"))</f>
        <v>ALTO</v>
      </c>
      <c r="AL98" s="692">
        <f t="shared" si="77"/>
        <v>7.0000000000000007E-2</v>
      </c>
      <c r="AM98" s="697" t="s">
        <v>102</v>
      </c>
      <c r="AN98" s="693">
        <f t="shared" si="78"/>
        <v>0.43750000000000006</v>
      </c>
      <c r="AO98" s="693">
        <f t="shared" si="79"/>
        <v>9.3333333333333338E-2</v>
      </c>
      <c r="AP98" s="693">
        <f t="shared" si="80"/>
        <v>2.4694442500000004E-2</v>
      </c>
      <c r="AQ98" s="693"/>
      <c r="AR98" s="401">
        <f t="shared" si="58"/>
        <v>0.31</v>
      </c>
      <c r="AS98" s="402" t="s">
        <v>100</v>
      </c>
      <c r="AT98" s="626">
        <f>91/91</f>
        <v>1</v>
      </c>
      <c r="AU98" s="626" t="s">
        <v>774</v>
      </c>
      <c r="AV98" s="626" t="s">
        <v>760</v>
      </c>
      <c r="AW98" s="729" t="str">
        <f t="shared" si="81"/>
        <v>ALTO</v>
      </c>
      <c r="AX98" s="397">
        <f t="shared" si="82"/>
        <v>0.31</v>
      </c>
      <c r="AY98" s="399" t="s">
        <v>775</v>
      </c>
      <c r="AZ98" s="398">
        <f t="shared" si="83"/>
        <v>1.9375</v>
      </c>
      <c r="BA98" s="398">
        <f t="shared" si="84"/>
        <v>0.41333333333333333</v>
      </c>
      <c r="BB98" s="398">
        <f t="shared" si="85"/>
        <v>0.1093611025</v>
      </c>
      <c r="BC98" s="15"/>
      <c r="BD98" s="14">
        <f t="shared" si="86"/>
        <v>0.31</v>
      </c>
      <c r="BE98" s="759" t="s">
        <v>100</v>
      </c>
      <c r="BF98" s="679">
        <v>1</v>
      </c>
      <c r="BG98" s="647" t="s">
        <v>776</v>
      </c>
      <c r="BH98" s="647" t="s">
        <v>763</v>
      </c>
      <c r="BI98" s="658" t="str">
        <f t="shared" si="63"/>
        <v>ALTO</v>
      </c>
      <c r="BJ98" s="681">
        <f t="shared" si="87"/>
        <v>0.31</v>
      </c>
      <c r="BK98" s="647" t="s">
        <v>777</v>
      </c>
      <c r="BL98" s="682">
        <f t="shared" si="64"/>
        <v>4.9599999999999998E-2</v>
      </c>
      <c r="BM98" s="682">
        <f t="shared" si="65"/>
        <v>0.23250000000000001</v>
      </c>
      <c r="BN98" s="682">
        <f t="shared" si="66"/>
        <v>0.87874022667245877</v>
      </c>
      <c r="BO98" s="658"/>
      <c r="BP98" s="853">
        <f t="shared" si="76"/>
        <v>0.31</v>
      </c>
      <c r="BQ98" s="854" t="s">
        <v>105</v>
      </c>
      <c r="BR98" s="876">
        <f>100/100</f>
        <v>1</v>
      </c>
      <c r="BS98" s="878" t="s">
        <v>778</v>
      </c>
      <c r="BT98" s="877" t="s">
        <v>766</v>
      </c>
      <c r="BU98" s="905" t="str">
        <f t="shared" si="88"/>
        <v>ALTO</v>
      </c>
      <c r="BV98" s="875">
        <f t="shared" si="89"/>
        <v>0.31</v>
      </c>
      <c r="BW98" s="874" t="s">
        <v>779</v>
      </c>
      <c r="BX98" s="857">
        <f t="shared" si="67"/>
        <v>1.9375</v>
      </c>
      <c r="BY98" s="857">
        <f t="shared" si="68"/>
        <v>0.41333333333333333</v>
      </c>
      <c r="BZ98" s="857">
        <f t="shared" si="69"/>
        <v>0.1093611025</v>
      </c>
      <c r="CA98" s="857">
        <f t="shared" si="70"/>
        <v>0.11366666666666665</v>
      </c>
      <c r="CB98" s="16">
        <f t="shared" si="71"/>
        <v>0.62</v>
      </c>
      <c r="CC98" s="16">
        <f t="shared" si="72"/>
        <v>0.38</v>
      </c>
      <c r="CD98" s="16">
        <f t="shared" si="74"/>
        <v>1</v>
      </c>
      <c r="CE98" s="16">
        <f t="shared" si="75"/>
        <v>1</v>
      </c>
      <c r="CF98" s="16" t="e">
        <f>SUM(#REF!/(CC98+CB98))</f>
        <v>#REF!</v>
      </c>
      <c r="CG98" s="17"/>
      <c r="CH98" s="17"/>
      <c r="CI98" s="17"/>
      <c r="CJ98" s="17"/>
      <c r="CV98" s="346">
        <f t="shared" si="73"/>
        <v>1</v>
      </c>
    </row>
    <row r="99" spans="1:303" s="1" customFormat="1" ht="171" x14ac:dyDescent="0.25">
      <c r="A99" s="354" t="s">
        <v>79</v>
      </c>
      <c r="B99" s="354" t="s">
        <v>80</v>
      </c>
      <c r="C99" s="354" t="s">
        <v>81</v>
      </c>
      <c r="D99" s="354" t="s">
        <v>82</v>
      </c>
      <c r="E99" s="354" t="s">
        <v>83</v>
      </c>
      <c r="F99" s="354" t="s">
        <v>84</v>
      </c>
      <c r="G99" s="354" t="s">
        <v>85</v>
      </c>
      <c r="H99" s="354" t="s">
        <v>640</v>
      </c>
      <c r="I99" s="354" t="s">
        <v>681</v>
      </c>
      <c r="J99" s="354" t="s">
        <v>752</v>
      </c>
      <c r="K99" s="383" t="s">
        <v>753</v>
      </c>
      <c r="L99" s="383" t="s">
        <v>652</v>
      </c>
      <c r="M99" s="687" t="s">
        <v>780</v>
      </c>
      <c r="N99" s="361" t="s">
        <v>444</v>
      </c>
      <c r="O99" s="361" t="s">
        <v>445</v>
      </c>
      <c r="P99" s="389">
        <v>305260714.28571427</v>
      </c>
      <c r="Q99" s="364" t="s">
        <v>654</v>
      </c>
      <c r="R99" s="364" t="s">
        <v>213</v>
      </c>
      <c r="S99" s="20">
        <v>1</v>
      </c>
      <c r="T99" s="384" t="s">
        <v>781</v>
      </c>
      <c r="U99" s="348" t="s">
        <v>782</v>
      </c>
      <c r="V99" s="348" t="s">
        <v>98</v>
      </c>
      <c r="W99" s="355" t="s">
        <v>780</v>
      </c>
      <c r="X99" s="430">
        <v>0.1</v>
      </c>
      <c r="Y99" s="430">
        <v>0.3</v>
      </c>
      <c r="Z99" s="430">
        <v>0.3</v>
      </c>
      <c r="AA99" s="431">
        <v>0.3</v>
      </c>
      <c r="AB99" s="525">
        <v>6.25</v>
      </c>
      <c r="AC99" s="413">
        <v>1.3333333333333333</v>
      </c>
      <c r="AD99" s="413">
        <v>0.35277775</v>
      </c>
      <c r="AE99" s="413">
        <v>0.36666666666666664</v>
      </c>
      <c r="AF99" s="692">
        <f t="shared" si="57"/>
        <v>0.1</v>
      </c>
      <c r="AG99" s="693" t="s">
        <v>100</v>
      </c>
      <c r="AH99" s="707">
        <f>1/3</f>
        <v>0.33333333333333331</v>
      </c>
      <c r="AI99" s="697" t="s">
        <v>783</v>
      </c>
      <c r="AJ99" s="697" t="s">
        <v>760</v>
      </c>
      <c r="AK99" s="693" t="str">
        <f>+IF(AND(AH99&gt;=0%,AH99&lt;=60%),"BAJO",IF(AND(AH99&gt;=61%,AH99&lt;=80%),"MEDIO","ALTO"))</f>
        <v>BAJO</v>
      </c>
      <c r="AL99" s="692">
        <f t="shared" si="77"/>
        <v>3.3333333333333333E-2</v>
      </c>
      <c r="AM99" s="697" t="s">
        <v>784</v>
      </c>
      <c r="AN99" s="693">
        <f t="shared" si="78"/>
        <v>0.20833333333333334</v>
      </c>
      <c r="AO99" s="693">
        <f t="shared" si="79"/>
        <v>4.4444444444444439E-2</v>
      </c>
      <c r="AP99" s="693">
        <f t="shared" si="80"/>
        <v>1.1759258333333333E-2</v>
      </c>
      <c r="AQ99" s="693"/>
      <c r="AR99" s="401">
        <f t="shared" si="58"/>
        <v>0.3</v>
      </c>
      <c r="AS99" s="402" t="s">
        <v>100</v>
      </c>
      <c r="AT99" s="625">
        <f>3/3</f>
        <v>1</v>
      </c>
      <c r="AU99" s="626" t="s">
        <v>785</v>
      </c>
      <c r="AV99" s="626" t="s">
        <v>760</v>
      </c>
      <c r="AW99" s="729" t="str">
        <f t="shared" si="81"/>
        <v>ALTO</v>
      </c>
      <c r="AX99" s="397">
        <f t="shared" si="82"/>
        <v>0.3</v>
      </c>
      <c r="AY99" s="399" t="s">
        <v>102</v>
      </c>
      <c r="AZ99" s="398">
        <f t="shared" si="83"/>
        <v>1.875</v>
      </c>
      <c r="BA99" s="398">
        <f t="shared" si="84"/>
        <v>0.39999999999999997</v>
      </c>
      <c r="BB99" s="398">
        <f t="shared" si="85"/>
        <v>0.10583332499999999</v>
      </c>
      <c r="BC99" s="15"/>
      <c r="BD99" s="14">
        <f t="shared" si="86"/>
        <v>0.3</v>
      </c>
      <c r="BE99" s="759" t="s">
        <v>100</v>
      </c>
      <c r="BF99" s="679">
        <f>15/15</f>
        <v>1</v>
      </c>
      <c r="BG99" s="680" t="s">
        <v>786</v>
      </c>
      <c r="BH99" s="680" t="s">
        <v>763</v>
      </c>
      <c r="BI99" s="658" t="str">
        <f t="shared" si="63"/>
        <v>ALTO</v>
      </c>
      <c r="BJ99" s="681">
        <f t="shared" si="87"/>
        <v>0.3</v>
      </c>
      <c r="BK99" s="647" t="s">
        <v>787</v>
      </c>
      <c r="BL99" s="682">
        <f t="shared" si="64"/>
        <v>4.8000000000000001E-2</v>
      </c>
      <c r="BM99" s="682">
        <f t="shared" si="65"/>
        <v>0.22500000000000001</v>
      </c>
      <c r="BN99" s="682">
        <f t="shared" si="66"/>
        <v>0.85039376774754072</v>
      </c>
      <c r="BO99" s="658"/>
      <c r="BP99" s="853">
        <f t="shared" si="76"/>
        <v>0.3</v>
      </c>
      <c r="BQ99" s="854" t="s">
        <v>105</v>
      </c>
      <c r="BR99" s="876">
        <f>100/100</f>
        <v>1</v>
      </c>
      <c r="BS99" s="877" t="s">
        <v>788</v>
      </c>
      <c r="BT99" s="877" t="s">
        <v>766</v>
      </c>
      <c r="BU99" s="905" t="str">
        <f t="shared" si="88"/>
        <v>ALTO</v>
      </c>
      <c r="BV99" s="875">
        <f t="shared" si="89"/>
        <v>0.3</v>
      </c>
      <c r="BW99" s="874" t="s">
        <v>779</v>
      </c>
      <c r="BX99" s="857">
        <f t="shared" si="67"/>
        <v>1.875</v>
      </c>
      <c r="BY99" s="857">
        <f t="shared" si="68"/>
        <v>0.39999999999999997</v>
      </c>
      <c r="BZ99" s="857">
        <f t="shared" si="69"/>
        <v>0.10583332499999999</v>
      </c>
      <c r="CA99" s="857">
        <f t="shared" si="70"/>
        <v>0.10999999999999999</v>
      </c>
      <c r="CB99" s="16">
        <f t="shared" si="71"/>
        <v>0.6</v>
      </c>
      <c r="CC99" s="16">
        <f t="shared" si="72"/>
        <v>0.4</v>
      </c>
      <c r="CD99" s="16">
        <f t="shared" si="74"/>
        <v>1</v>
      </c>
      <c r="CE99" s="16">
        <f t="shared" si="75"/>
        <v>0.93333333333333335</v>
      </c>
      <c r="CF99" s="16" t="e">
        <f>SUM(#REF!/(CC99+CB99))</f>
        <v>#REF!</v>
      </c>
      <c r="CG99" s="17"/>
      <c r="CH99" s="17"/>
      <c r="CI99" s="17"/>
      <c r="CJ99" s="17"/>
      <c r="CV99" s="346">
        <f t="shared" si="73"/>
        <v>1</v>
      </c>
    </row>
    <row r="100" spans="1:303" s="1" customFormat="1" ht="171" x14ac:dyDescent="0.25">
      <c r="A100" s="354" t="s">
        <v>79</v>
      </c>
      <c r="B100" s="354" t="s">
        <v>80</v>
      </c>
      <c r="C100" s="354" t="s">
        <v>81</v>
      </c>
      <c r="D100" s="354" t="s">
        <v>82</v>
      </c>
      <c r="E100" s="354" t="s">
        <v>83</v>
      </c>
      <c r="F100" s="354" t="s">
        <v>84</v>
      </c>
      <c r="G100" s="354" t="s">
        <v>85</v>
      </c>
      <c r="H100" s="354" t="s">
        <v>640</v>
      </c>
      <c r="I100" s="354" t="s">
        <v>681</v>
      </c>
      <c r="J100" s="354" t="s">
        <v>752</v>
      </c>
      <c r="K100" s="383" t="s">
        <v>753</v>
      </c>
      <c r="L100" s="383" t="s">
        <v>652</v>
      </c>
      <c r="M100" s="687" t="s">
        <v>789</v>
      </c>
      <c r="N100" s="361" t="s">
        <v>444</v>
      </c>
      <c r="O100" s="361" t="s">
        <v>445</v>
      </c>
      <c r="P100" s="389">
        <v>305260714.28571427</v>
      </c>
      <c r="Q100" s="364" t="s">
        <v>654</v>
      </c>
      <c r="R100" s="364" t="s">
        <v>213</v>
      </c>
      <c r="S100" s="20">
        <v>1</v>
      </c>
      <c r="T100" s="384" t="s">
        <v>790</v>
      </c>
      <c r="U100" s="348" t="s">
        <v>791</v>
      </c>
      <c r="V100" s="348" t="s">
        <v>98</v>
      </c>
      <c r="W100" s="355" t="s">
        <v>792</v>
      </c>
      <c r="X100" s="430">
        <v>0</v>
      </c>
      <c r="Y100" s="430">
        <v>0.33</v>
      </c>
      <c r="Z100" s="430">
        <v>0</v>
      </c>
      <c r="AA100" s="431">
        <v>0.67</v>
      </c>
      <c r="AB100" s="525">
        <v>6.25</v>
      </c>
      <c r="AC100" s="413">
        <v>1.3333333333333333</v>
      </c>
      <c r="AD100" s="413">
        <v>0.35277775</v>
      </c>
      <c r="AE100" s="413">
        <v>0.36666666666666664</v>
      </c>
      <c r="AF100" s="692">
        <f t="shared" si="57"/>
        <v>0</v>
      </c>
      <c r="AG100" s="693" t="s">
        <v>146</v>
      </c>
      <c r="AH100" s="707">
        <v>0</v>
      </c>
      <c r="AI100" s="697"/>
      <c r="AJ100" s="697" t="s">
        <v>758</v>
      </c>
      <c r="AK100" s="693"/>
      <c r="AL100" s="692">
        <f t="shared" si="77"/>
        <v>0</v>
      </c>
      <c r="AM100" s="697" t="s">
        <v>121</v>
      </c>
      <c r="AN100" s="693">
        <f t="shared" si="78"/>
        <v>0</v>
      </c>
      <c r="AO100" s="693">
        <f t="shared" si="79"/>
        <v>0</v>
      </c>
      <c r="AP100" s="693">
        <f t="shared" si="80"/>
        <v>0</v>
      </c>
      <c r="AQ100" s="693"/>
      <c r="AR100" s="401">
        <f t="shared" si="58"/>
        <v>0.33</v>
      </c>
      <c r="AS100" s="402" t="s">
        <v>100</v>
      </c>
      <c r="AT100" s="625">
        <v>0.8</v>
      </c>
      <c r="AU100" s="626" t="s">
        <v>793</v>
      </c>
      <c r="AV100" s="626" t="s">
        <v>760</v>
      </c>
      <c r="AW100" s="729" t="str">
        <f t="shared" si="81"/>
        <v>MEDIO</v>
      </c>
      <c r="AX100" s="397">
        <f t="shared" si="82"/>
        <v>0.26400000000000001</v>
      </c>
      <c r="AY100" s="399" t="s">
        <v>794</v>
      </c>
      <c r="AZ100" s="398">
        <f t="shared" si="83"/>
        <v>1.6500000000000001</v>
      </c>
      <c r="BA100" s="398">
        <f t="shared" si="84"/>
        <v>0.35199999999999998</v>
      </c>
      <c r="BB100" s="398">
        <f t="shared" si="85"/>
        <v>9.3133326000000002E-2</v>
      </c>
      <c r="BC100" s="15"/>
      <c r="BD100" s="14">
        <f t="shared" si="86"/>
        <v>0</v>
      </c>
      <c r="BE100" s="759" t="s">
        <v>100</v>
      </c>
      <c r="BF100" s="679"/>
      <c r="BG100" s="647" t="s">
        <v>795</v>
      </c>
      <c r="BH100" s="680" t="s">
        <v>796</v>
      </c>
      <c r="BI100" s="658" t="str">
        <f t="shared" si="63"/>
        <v>BAJO</v>
      </c>
      <c r="BJ100" s="681">
        <f t="shared" si="87"/>
        <v>0</v>
      </c>
      <c r="BK100" s="658"/>
      <c r="BL100" s="682">
        <f t="shared" si="64"/>
        <v>0</v>
      </c>
      <c r="BM100" s="682">
        <f t="shared" si="65"/>
        <v>0</v>
      </c>
      <c r="BN100" s="682">
        <f t="shared" si="66"/>
        <v>0</v>
      </c>
      <c r="BO100" s="658"/>
      <c r="BP100" s="853">
        <f t="shared" si="76"/>
        <v>0.67</v>
      </c>
      <c r="BQ100" s="854" t="s">
        <v>105</v>
      </c>
      <c r="BR100" s="876">
        <f>50/100</f>
        <v>0.5</v>
      </c>
      <c r="BS100" s="877" t="s">
        <v>797</v>
      </c>
      <c r="BT100" s="877" t="s">
        <v>766</v>
      </c>
      <c r="BU100" s="907" t="str">
        <f t="shared" si="88"/>
        <v>BAJO</v>
      </c>
      <c r="BV100" s="875">
        <f t="shared" si="89"/>
        <v>0.33500000000000002</v>
      </c>
      <c r="BW100" s="874" t="s">
        <v>798</v>
      </c>
      <c r="BX100" s="857">
        <f t="shared" si="67"/>
        <v>2.09375</v>
      </c>
      <c r="BY100" s="857">
        <f t="shared" si="68"/>
        <v>0.44666666666666666</v>
      </c>
      <c r="BZ100" s="857">
        <f t="shared" si="69"/>
        <v>0.11818054625</v>
      </c>
      <c r="CA100" s="857">
        <f t="shared" si="70"/>
        <v>0.12283333333333334</v>
      </c>
      <c r="CB100" s="16">
        <f t="shared" si="71"/>
        <v>0.67</v>
      </c>
      <c r="CC100" s="16">
        <f t="shared" si="72"/>
        <v>0.33</v>
      </c>
      <c r="CD100" s="16">
        <f t="shared" si="74"/>
        <v>1</v>
      </c>
      <c r="CE100" s="16">
        <f t="shared" si="75"/>
        <v>0.59899999999999998</v>
      </c>
      <c r="CF100" s="16" t="e">
        <f>SUM(#REF!/(CC100+CB100))</f>
        <v>#REF!</v>
      </c>
      <c r="CG100" s="17"/>
      <c r="CH100" s="17"/>
      <c r="CI100" s="17"/>
      <c r="CJ100" s="17"/>
      <c r="CV100" s="346">
        <f t="shared" si="73"/>
        <v>1</v>
      </c>
    </row>
    <row r="101" spans="1:303" s="1" customFormat="1" ht="171" x14ac:dyDescent="0.25">
      <c r="A101" s="354" t="s">
        <v>79</v>
      </c>
      <c r="B101" s="354" t="s">
        <v>80</v>
      </c>
      <c r="C101" s="354" t="s">
        <v>81</v>
      </c>
      <c r="D101" s="354" t="s">
        <v>82</v>
      </c>
      <c r="E101" s="354" t="s">
        <v>83</v>
      </c>
      <c r="F101" s="354" t="s">
        <v>84</v>
      </c>
      <c r="G101" s="354" t="s">
        <v>85</v>
      </c>
      <c r="H101" s="354" t="s">
        <v>640</v>
      </c>
      <c r="I101" s="354" t="s">
        <v>681</v>
      </c>
      <c r="J101" s="354" t="s">
        <v>752</v>
      </c>
      <c r="K101" s="383" t="s">
        <v>753</v>
      </c>
      <c r="L101" s="383" t="s">
        <v>652</v>
      </c>
      <c r="M101" s="687" t="s">
        <v>799</v>
      </c>
      <c r="N101" s="361" t="s">
        <v>444</v>
      </c>
      <c r="O101" s="361" t="s">
        <v>445</v>
      </c>
      <c r="P101" s="389">
        <v>305260714.28571427</v>
      </c>
      <c r="Q101" s="364" t="s">
        <v>654</v>
      </c>
      <c r="R101" s="364" t="s">
        <v>213</v>
      </c>
      <c r="S101" s="20">
        <v>1</v>
      </c>
      <c r="T101" s="384" t="s">
        <v>800</v>
      </c>
      <c r="U101" s="348" t="s">
        <v>801</v>
      </c>
      <c r="V101" s="348" t="s">
        <v>98</v>
      </c>
      <c r="W101" s="355" t="s">
        <v>802</v>
      </c>
      <c r="X101" s="430">
        <v>0.25</v>
      </c>
      <c r="Y101" s="430">
        <v>0.25</v>
      </c>
      <c r="Z101" s="430">
        <v>0.25</v>
      </c>
      <c r="AA101" s="431">
        <v>0.25</v>
      </c>
      <c r="AB101" s="525">
        <v>6.25</v>
      </c>
      <c r="AC101" s="413">
        <v>1.3333333333333333</v>
      </c>
      <c r="AD101" s="413">
        <v>0.35277775</v>
      </c>
      <c r="AE101" s="413">
        <v>0.36666666666666664</v>
      </c>
      <c r="AF101" s="692">
        <f t="shared" si="57"/>
        <v>0.25</v>
      </c>
      <c r="AG101" s="693" t="s">
        <v>100</v>
      </c>
      <c r="AH101" s="707">
        <v>0</v>
      </c>
      <c r="AI101" s="697" t="s">
        <v>803</v>
      </c>
      <c r="AJ101" s="697" t="s">
        <v>804</v>
      </c>
      <c r="AK101" s="693" t="str">
        <f>+IF(AND(AH101&gt;=0%,AH101&lt;=60%),"BAJO",IF(AND(AH101&gt;=61%,AH101&lt;=80%),"MEDIO","ALTO"))</f>
        <v>BAJO</v>
      </c>
      <c r="AL101" s="692">
        <f t="shared" si="77"/>
        <v>0</v>
      </c>
      <c r="AM101" s="697" t="s">
        <v>805</v>
      </c>
      <c r="AN101" s="693">
        <f t="shared" si="78"/>
        <v>0</v>
      </c>
      <c r="AO101" s="693">
        <f t="shared" si="79"/>
        <v>0</v>
      </c>
      <c r="AP101" s="693">
        <f t="shared" si="80"/>
        <v>0</v>
      </c>
      <c r="AQ101" s="693"/>
      <c r="AR101" s="401">
        <f t="shared" si="58"/>
        <v>0.25</v>
      </c>
      <c r="AS101" s="402" t="s">
        <v>100</v>
      </c>
      <c r="AT101" s="625">
        <f>23/23</f>
        <v>1</v>
      </c>
      <c r="AU101" s="626" t="s">
        <v>806</v>
      </c>
      <c r="AV101" s="626" t="s">
        <v>760</v>
      </c>
      <c r="AW101" s="729" t="str">
        <f t="shared" si="81"/>
        <v>ALTO</v>
      </c>
      <c r="AX101" s="397">
        <f t="shared" si="82"/>
        <v>0.25</v>
      </c>
      <c r="AY101" s="399" t="s">
        <v>102</v>
      </c>
      <c r="AZ101" s="398">
        <f t="shared" si="83"/>
        <v>1.5625</v>
      </c>
      <c r="BA101" s="398">
        <f t="shared" si="84"/>
        <v>0.33333333333333331</v>
      </c>
      <c r="BB101" s="398">
        <f t="shared" si="85"/>
        <v>8.81944375E-2</v>
      </c>
      <c r="BC101" s="15"/>
      <c r="BD101" s="14">
        <f t="shared" si="86"/>
        <v>0.25</v>
      </c>
      <c r="BE101" s="759" t="s">
        <v>100</v>
      </c>
      <c r="BF101" s="679">
        <f>32/32</f>
        <v>1</v>
      </c>
      <c r="BG101" s="647" t="s">
        <v>807</v>
      </c>
      <c r="BH101" s="680" t="s">
        <v>763</v>
      </c>
      <c r="BI101" s="658" t="str">
        <f t="shared" si="63"/>
        <v>ALTO</v>
      </c>
      <c r="BJ101" s="681">
        <f t="shared" si="87"/>
        <v>0.25</v>
      </c>
      <c r="BK101" s="647" t="s">
        <v>808</v>
      </c>
      <c r="BL101" s="682">
        <f t="shared" si="64"/>
        <v>0.04</v>
      </c>
      <c r="BM101" s="682">
        <f t="shared" si="65"/>
        <v>0.1875</v>
      </c>
      <c r="BN101" s="682">
        <f t="shared" si="66"/>
        <v>0.70866147312295069</v>
      </c>
      <c r="BO101" s="658"/>
      <c r="BP101" s="853">
        <f t="shared" si="76"/>
        <v>0.25</v>
      </c>
      <c r="BQ101" s="854" t="s">
        <v>105</v>
      </c>
      <c r="BR101" s="876">
        <f>48/100</f>
        <v>0.48</v>
      </c>
      <c r="BS101" s="878" t="s">
        <v>809</v>
      </c>
      <c r="BT101" s="877" t="s">
        <v>766</v>
      </c>
      <c r="BU101" s="907" t="str">
        <f t="shared" si="88"/>
        <v>BAJO</v>
      </c>
      <c r="BV101" s="875">
        <f t="shared" si="89"/>
        <v>0.12</v>
      </c>
      <c r="BW101" s="874" t="s">
        <v>810</v>
      </c>
      <c r="BX101" s="857">
        <f t="shared" si="67"/>
        <v>0.75</v>
      </c>
      <c r="BY101" s="857">
        <f t="shared" si="68"/>
        <v>0.15999999999999998</v>
      </c>
      <c r="BZ101" s="857">
        <f t="shared" si="69"/>
        <v>4.2333329999999995E-2</v>
      </c>
      <c r="CA101" s="857">
        <f t="shared" si="70"/>
        <v>4.3999999999999997E-2</v>
      </c>
      <c r="CB101" s="16">
        <f t="shared" si="71"/>
        <v>0.5</v>
      </c>
      <c r="CC101" s="16">
        <f t="shared" si="72"/>
        <v>0.5</v>
      </c>
      <c r="CD101" s="16">
        <f t="shared" si="74"/>
        <v>1</v>
      </c>
      <c r="CE101" s="16">
        <f t="shared" si="75"/>
        <v>0.62</v>
      </c>
      <c r="CF101" s="16" t="e">
        <f>SUM(#REF!/(CC101+CB101))</f>
        <v>#REF!</v>
      </c>
      <c r="CG101" s="17"/>
      <c r="CH101" s="17"/>
      <c r="CI101" s="17"/>
      <c r="CJ101" s="17"/>
      <c r="CV101" s="346">
        <f t="shared" si="73"/>
        <v>1</v>
      </c>
    </row>
    <row r="102" spans="1:303" s="1" customFormat="1" ht="171" x14ac:dyDescent="0.25">
      <c r="A102" s="354" t="s">
        <v>79</v>
      </c>
      <c r="B102" s="354" t="s">
        <v>80</v>
      </c>
      <c r="C102" s="354" t="s">
        <v>81</v>
      </c>
      <c r="D102" s="354" t="s">
        <v>82</v>
      </c>
      <c r="E102" s="354" t="s">
        <v>83</v>
      </c>
      <c r="F102" s="354" t="s">
        <v>84</v>
      </c>
      <c r="G102" s="354" t="s">
        <v>85</v>
      </c>
      <c r="H102" s="354" t="s">
        <v>640</v>
      </c>
      <c r="I102" s="354" t="s">
        <v>681</v>
      </c>
      <c r="J102" s="354" t="s">
        <v>752</v>
      </c>
      <c r="K102" s="383" t="s">
        <v>753</v>
      </c>
      <c r="L102" s="383" t="s">
        <v>652</v>
      </c>
      <c r="M102" s="687" t="s">
        <v>811</v>
      </c>
      <c r="N102" s="361" t="s">
        <v>444</v>
      </c>
      <c r="O102" s="361" t="s">
        <v>445</v>
      </c>
      <c r="P102" s="389">
        <v>305260714.28571427</v>
      </c>
      <c r="Q102" s="364" t="s">
        <v>654</v>
      </c>
      <c r="R102" s="364" t="s">
        <v>213</v>
      </c>
      <c r="S102" s="20">
        <v>1</v>
      </c>
      <c r="T102" s="384" t="s">
        <v>812</v>
      </c>
      <c r="U102" s="348" t="s">
        <v>813</v>
      </c>
      <c r="V102" s="348" t="s">
        <v>98</v>
      </c>
      <c r="W102" s="355" t="s">
        <v>814</v>
      </c>
      <c r="X102" s="430">
        <v>0.25</v>
      </c>
      <c r="Y102" s="430">
        <v>0.25</v>
      </c>
      <c r="Z102" s="430">
        <v>0.25</v>
      </c>
      <c r="AA102" s="431">
        <v>0.25</v>
      </c>
      <c r="AB102" s="525">
        <v>6.25</v>
      </c>
      <c r="AC102" s="413">
        <v>1.3333333333333333</v>
      </c>
      <c r="AD102" s="413">
        <v>0.35277775</v>
      </c>
      <c r="AE102" s="413">
        <v>0.36666666666666664</v>
      </c>
      <c r="AF102" s="692">
        <f t="shared" si="57"/>
        <v>0.25</v>
      </c>
      <c r="AG102" s="693" t="s">
        <v>100</v>
      </c>
      <c r="AH102" s="707">
        <f>2/2</f>
        <v>1</v>
      </c>
      <c r="AI102" s="697" t="s">
        <v>815</v>
      </c>
      <c r="AJ102" s="697" t="s">
        <v>760</v>
      </c>
      <c r="AK102" s="693" t="str">
        <f>+IF(AND(AH102&gt;=0%,AH102&lt;=60%),"BAJO",IF(AND(AH102&gt;=61%,AH102&lt;=80%),"MEDIO","ALTO"))</f>
        <v>ALTO</v>
      </c>
      <c r="AL102" s="692">
        <f t="shared" si="77"/>
        <v>0.25</v>
      </c>
      <c r="AM102" s="697" t="s">
        <v>102</v>
      </c>
      <c r="AN102" s="693">
        <f t="shared" si="78"/>
        <v>1.5625</v>
      </c>
      <c r="AO102" s="693">
        <f t="shared" si="79"/>
        <v>0.33333333333333331</v>
      </c>
      <c r="AP102" s="693">
        <f t="shared" si="80"/>
        <v>8.81944375E-2</v>
      </c>
      <c r="AQ102" s="693"/>
      <c r="AR102" s="401">
        <f t="shared" si="58"/>
        <v>0.25</v>
      </c>
      <c r="AS102" s="402" t="s">
        <v>100</v>
      </c>
      <c r="AT102" s="625">
        <f>3/3</f>
        <v>1</v>
      </c>
      <c r="AU102" s="626" t="s">
        <v>816</v>
      </c>
      <c r="AV102" s="626" t="s">
        <v>760</v>
      </c>
      <c r="AW102" s="729" t="str">
        <f t="shared" si="81"/>
        <v>ALTO</v>
      </c>
      <c r="AX102" s="397">
        <f t="shared" si="82"/>
        <v>0.25</v>
      </c>
      <c r="AY102" s="399" t="s">
        <v>102</v>
      </c>
      <c r="AZ102" s="398">
        <f t="shared" si="83"/>
        <v>1.5625</v>
      </c>
      <c r="BA102" s="398">
        <f t="shared" si="84"/>
        <v>0.33333333333333331</v>
      </c>
      <c r="BB102" s="398">
        <f t="shared" si="85"/>
        <v>8.81944375E-2</v>
      </c>
      <c r="BC102" s="15"/>
      <c r="BD102" s="14">
        <f t="shared" si="86"/>
        <v>0.25</v>
      </c>
      <c r="BE102" s="759" t="s">
        <v>100</v>
      </c>
      <c r="BF102" s="679">
        <f>3/3</f>
        <v>1</v>
      </c>
      <c r="BG102" s="680" t="s">
        <v>817</v>
      </c>
      <c r="BH102" s="647" t="s">
        <v>763</v>
      </c>
      <c r="BI102" s="658" t="str">
        <f t="shared" si="63"/>
        <v>ALTO</v>
      </c>
      <c r="BJ102" s="681">
        <f t="shared" si="87"/>
        <v>0.25</v>
      </c>
      <c r="BK102" s="647" t="s">
        <v>818</v>
      </c>
      <c r="BL102" s="682">
        <f t="shared" si="64"/>
        <v>0.04</v>
      </c>
      <c r="BM102" s="682">
        <f t="shared" si="65"/>
        <v>0.1875</v>
      </c>
      <c r="BN102" s="682">
        <f t="shared" si="66"/>
        <v>0.70866147312295069</v>
      </c>
      <c r="BO102" s="658"/>
      <c r="BP102" s="853">
        <f t="shared" si="76"/>
        <v>0.25</v>
      </c>
      <c r="BQ102" s="854" t="s">
        <v>105</v>
      </c>
      <c r="BR102" s="876">
        <f>100/100</f>
        <v>1</v>
      </c>
      <c r="BS102" s="877" t="s">
        <v>819</v>
      </c>
      <c r="BT102" s="877" t="s">
        <v>766</v>
      </c>
      <c r="BU102" s="905" t="str">
        <f t="shared" si="88"/>
        <v>ALTO</v>
      </c>
      <c r="BV102" s="875">
        <f t="shared" si="89"/>
        <v>0.25</v>
      </c>
      <c r="BW102" s="874" t="s">
        <v>820</v>
      </c>
      <c r="BX102" s="857">
        <f t="shared" si="67"/>
        <v>1.5625</v>
      </c>
      <c r="BY102" s="857">
        <f t="shared" si="68"/>
        <v>0.33333333333333331</v>
      </c>
      <c r="BZ102" s="857">
        <f t="shared" si="69"/>
        <v>8.81944375E-2</v>
      </c>
      <c r="CA102" s="857">
        <f t="shared" si="70"/>
        <v>9.166666666666666E-2</v>
      </c>
      <c r="CB102" s="16">
        <f t="shared" si="71"/>
        <v>0.5</v>
      </c>
      <c r="CC102" s="16">
        <f t="shared" si="72"/>
        <v>0.5</v>
      </c>
      <c r="CD102" s="16">
        <f t="shared" si="74"/>
        <v>1</v>
      </c>
      <c r="CE102" s="16">
        <f t="shared" si="75"/>
        <v>1</v>
      </c>
      <c r="CF102" s="16" t="e">
        <f>SUM(#REF!/(CC102+CB102))</f>
        <v>#REF!</v>
      </c>
      <c r="CG102" s="17"/>
      <c r="CH102" s="17"/>
      <c r="CI102" s="17"/>
      <c r="CJ102" s="17"/>
      <c r="CV102" s="346">
        <f t="shared" si="73"/>
        <v>1</v>
      </c>
    </row>
    <row r="103" spans="1:303" s="1" customFormat="1" ht="171" x14ac:dyDescent="0.25">
      <c r="A103" s="354" t="s">
        <v>79</v>
      </c>
      <c r="B103" s="354" t="s">
        <v>80</v>
      </c>
      <c r="C103" s="354" t="s">
        <v>81</v>
      </c>
      <c r="D103" s="354" t="s">
        <v>82</v>
      </c>
      <c r="E103" s="354" t="s">
        <v>83</v>
      </c>
      <c r="F103" s="354" t="s">
        <v>84</v>
      </c>
      <c r="G103" s="354" t="s">
        <v>85</v>
      </c>
      <c r="H103" s="354" t="s">
        <v>640</v>
      </c>
      <c r="I103" s="354" t="s">
        <v>681</v>
      </c>
      <c r="J103" s="354" t="s">
        <v>752</v>
      </c>
      <c r="K103" s="383" t="s">
        <v>753</v>
      </c>
      <c r="L103" s="383" t="s">
        <v>652</v>
      </c>
      <c r="M103" s="687" t="s">
        <v>821</v>
      </c>
      <c r="N103" s="361" t="s">
        <v>444</v>
      </c>
      <c r="O103" s="361" t="s">
        <v>445</v>
      </c>
      <c r="P103" s="389">
        <v>305260714.28571427</v>
      </c>
      <c r="Q103" s="364" t="s">
        <v>654</v>
      </c>
      <c r="R103" s="364" t="s">
        <v>213</v>
      </c>
      <c r="S103" s="20">
        <v>1</v>
      </c>
      <c r="T103" s="384" t="s">
        <v>822</v>
      </c>
      <c r="U103" s="348" t="s">
        <v>823</v>
      </c>
      <c r="V103" s="348" t="s">
        <v>771</v>
      </c>
      <c r="W103" s="355" t="s">
        <v>824</v>
      </c>
      <c r="X103" s="430">
        <v>0</v>
      </c>
      <c r="Y103" s="430">
        <v>0.5</v>
      </c>
      <c r="Z103" s="430">
        <v>0</v>
      </c>
      <c r="AA103" s="431">
        <v>0.5</v>
      </c>
      <c r="AB103" s="525">
        <v>6.25</v>
      </c>
      <c r="AC103" s="413">
        <v>1.3333333333333333</v>
      </c>
      <c r="AD103" s="413">
        <v>0.35277775</v>
      </c>
      <c r="AE103" s="413">
        <v>0.36666666666666664</v>
      </c>
      <c r="AF103" s="692">
        <f t="shared" si="57"/>
        <v>0</v>
      </c>
      <c r="AG103" s="693" t="s">
        <v>146</v>
      </c>
      <c r="AH103" s="708">
        <v>0</v>
      </c>
      <c r="AI103" s="697"/>
      <c r="AJ103" s="697" t="s">
        <v>758</v>
      </c>
      <c r="AK103" s="693"/>
      <c r="AL103" s="692">
        <f t="shared" si="77"/>
        <v>0</v>
      </c>
      <c r="AM103" s="697" t="s">
        <v>121</v>
      </c>
      <c r="AN103" s="693">
        <f t="shared" si="78"/>
        <v>0</v>
      </c>
      <c r="AO103" s="693">
        <f t="shared" si="79"/>
        <v>0</v>
      </c>
      <c r="AP103" s="693">
        <f t="shared" si="80"/>
        <v>0</v>
      </c>
      <c r="AQ103" s="693"/>
      <c r="AR103" s="401">
        <f t="shared" si="58"/>
        <v>0.5</v>
      </c>
      <c r="AS103" s="402" t="s">
        <v>100</v>
      </c>
      <c r="AT103" s="625">
        <f>1/1</f>
        <v>1</v>
      </c>
      <c r="AU103" s="626" t="s">
        <v>825</v>
      </c>
      <c r="AV103" s="626" t="s">
        <v>760</v>
      </c>
      <c r="AW103" s="729" t="str">
        <f t="shared" si="81"/>
        <v>ALTO</v>
      </c>
      <c r="AX103" s="397">
        <f t="shared" si="82"/>
        <v>0.5</v>
      </c>
      <c r="AY103" s="399" t="s">
        <v>102</v>
      </c>
      <c r="AZ103" s="398">
        <f t="shared" si="83"/>
        <v>3.125</v>
      </c>
      <c r="BA103" s="398">
        <f t="shared" si="84"/>
        <v>0.66666666666666663</v>
      </c>
      <c r="BB103" s="398">
        <f t="shared" si="85"/>
        <v>0.176388875</v>
      </c>
      <c r="BC103" s="15"/>
      <c r="BD103" s="14">
        <f t="shared" si="86"/>
        <v>0</v>
      </c>
      <c r="BE103" s="759" t="s">
        <v>100</v>
      </c>
      <c r="BF103" s="679"/>
      <c r="BG103" s="680" t="s">
        <v>826</v>
      </c>
      <c r="BH103" s="647" t="s">
        <v>795</v>
      </c>
      <c r="BI103" s="658" t="str">
        <f t="shared" si="63"/>
        <v>BAJO</v>
      </c>
      <c r="BJ103" s="681">
        <f t="shared" si="87"/>
        <v>0</v>
      </c>
      <c r="BK103" s="658" t="s">
        <v>149</v>
      </c>
      <c r="BL103" s="682">
        <f t="shared" si="64"/>
        <v>0</v>
      </c>
      <c r="BM103" s="682">
        <f t="shared" si="65"/>
        <v>0</v>
      </c>
      <c r="BN103" s="682">
        <f t="shared" si="66"/>
        <v>0</v>
      </c>
      <c r="BO103" s="658"/>
      <c r="BP103" s="853">
        <f t="shared" si="76"/>
        <v>0.5</v>
      </c>
      <c r="BQ103" s="854" t="s">
        <v>105</v>
      </c>
      <c r="BR103" s="876">
        <f>100/100</f>
        <v>1</v>
      </c>
      <c r="BS103" s="877" t="s">
        <v>827</v>
      </c>
      <c r="BT103" s="877" t="s">
        <v>828</v>
      </c>
      <c r="BU103" s="905" t="str">
        <f t="shared" si="88"/>
        <v>ALTO</v>
      </c>
      <c r="BV103" s="875">
        <f t="shared" si="89"/>
        <v>0.5</v>
      </c>
      <c r="BW103" s="874" t="s">
        <v>829</v>
      </c>
      <c r="BX103" s="857">
        <f t="shared" si="67"/>
        <v>3.125</v>
      </c>
      <c r="BY103" s="857">
        <f t="shared" si="68"/>
        <v>0.66666666666666663</v>
      </c>
      <c r="BZ103" s="857">
        <f t="shared" si="69"/>
        <v>0.176388875</v>
      </c>
      <c r="CA103" s="857">
        <f t="shared" si="70"/>
        <v>0.18333333333333332</v>
      </c>
      <c r="CB103" s="16">
        <f t="shared" si="71"/>
        <v>0.5</v>
      </c>
      <c r="CC103" s="16">
        <f t="shared" si="72"/>
        <v>0.5</v>
      </c>
      <c r="CD103" s="16">
        <f t="shared" si="74"/>
        <v>1</v>
      </c>
      <c r="CE103" s="16">
        <f t="shared" si="75"/>
        <v>1</v>
      </c>
      <c r="CF103" s="16" t="e">
        <f>SUM(#REF!/(CC103+CB103))</f>
        <v>#REF!</v>
      </c>
      <c r="CG103" s="17"/>
      <c r="CH103" s="17"/>
      <c r="CI103" s="17"/>
      <c r="CJ103" s="17"/>
      <c r="CV103" s="346">
        <f t="shared" si="73"/>
        <v>1</v>
      </c>
    </row>
    <row r="104" spans="1:303" s="1" customFormat="1" ht="171" x14ac:dyDescent="0.25">
      <c r="A104" s="354" t="s">
        <v>79</v>
      </c>
      <c r="B104" s="354" t="s">
        <v>80</v>
      </c>
      <c r="C104" s="354" t="s">
        <v>81</v>
      </c>
      <c r="D104" s="354" t="s">
        <v>82</v>
      </c>
      <c r="E104" s="354" t="s">
        <v>83</v>
      </c>
      <c r="F104" s="354" t="s">
        <v>84</v>
      </c>
      <c r="G104" s="354" t="s">
        <v>85</v>
      </c>
      <c r="H104" s="354" t="s">
        <v>640</v>
      </c>
      <c r="I104" s="354" t="s">
        <v>681</v>
      </c>
      <c r="J104" s="354" t="s">
        <v>752</v>
      </c>
      <c r="K104" s="383" t="s">
        <v>753</v>
      </c>
      <c r="L104" s="383" t="s">
        <v>652</v>
      </c>
      <c r="M104" s="687" t="s">
        <v>830</v>
      </c>
      <c r="N104" s="361" t="s">
        <v>444</v>
      </c>
      <c r="O104" s="361" t="s">
        <v>445</v>
      </c>
      <c r="P104" s="389">
        <v>305260714.28571427</v>
      </c>
      <c r="Q104" s="364" t="s">
        <v>654</v>
      </c>
      <c r="R104" s="364" t="s">
        <v>213</v>
      </c>
      <c r="S104" s="20">
        <v>1</v>
      </c>
      <c r="T104" s="384" t="s">
        <v>831</v>
      </c>
      <c r="U104" s="348" t="s">
        <v>832</v>
      </c>
      <c r="V104" s="348" t="s">
        <v>98</v>
      </c>
      <c r="W104" s="355" t="s">
        <v>833</v>
      </c>
      <c r="X104" s="430">
        <v>0.25</v>
      </c>
      <c r="Y104" s="430">
        <v>0.25</v>
      </c>
      <c r="Z104" s="430">
        <v>0.25</v>
      </c>
      <c r="AA104" s="431">
        <v>0.25</v>
      </c>
      <c r="AB104" s="525">
        <v>6.25</v>
      </c>
      <c r="AC104" s="413">
        <v>1.3333333333333333</v>
      </c>
      <c r="AD104" s="413">
        <v>0.35277775</v>
      </c>
      <c r="AE104" s="413">
        <v>0.36666666666666664</v>
      </c>
      <c r="AF104" s="692">
        <f t="shared" si="57"/>
        <v>0.25</v>
      </c>
      <c r="AG104" s="693" t="s">
        <v>100</v>
      </c>
      <c r="AH104" s="707">
        <f>50/50</f>
        <v>1</v>
      </c>
      <c r="AI104" s="697" t="s">
        <v>834</v>
      </c>
      <c r="AJ104" s="697" t="s">
        <v>760</v>
      </c>
      <c r="AK104" s="693" t="str">
        <f>+IF(AND(AH104&gt;=0%,AH104&lt;=60%),"BAJO",IF(AND(AH104&gt;=61%,AH104&lt;=80%),"MEDIO","ALTO"))</f>
        <v>ALTO</v>
      </c>
      <c r="AL104" s="692">
        <f t="shared" si="77"/>
        <v>0.25</v>
      </c>
      <c r="AM104" s="697" t="s">
        <v>102</v>
      </c>
      <c r="AN104" s="693">
        <f t="shared" si="78"/>
        <v>1.5625</v>
      </c>
      <c r="AO104" s="693">
        <f t="shared" si="79"/>
        <v>0.33333333333333331</v>
      </c>
      <c r="AP104" s="693">
        <f t="shared" si="80"/>
        <v>8.81944375E-2</v>
      </c>
      <c r="AQ104" s="693"/>
      <c r="AR104" s="401">
        <f t="shared" si="58"/>
        <v>0.25</v>
      </c>
      <c r="AS104" s="402" t="s">
        <v>100</v>
      </c>
      <c r="AT104" s="625">
        <f>14/14</f>
        <v>1</v>
      </c>
      <c r="AU104" s="626" t="s">
        <v>835</v>
      </c>
      <c r="AV104" s="626" t="s">
        <v>760</v>
      </c>
      <c r="AW104" s="729" t="str">
        <f t="shared" si="81"/>
        <v>ALTO</v>
      </c>
      <c r="AX104" s="397">
        <f t="shared" si="82"/>
        <v>0.25</v>
      </c>
      <c r="AY104" s="399" t="s">
        <v>102</v>
      </c>
      <c r="AZ104" s="398">
        <f t="shared" si="83"/>
        <v>1.5625</v>
      </c>
      <c r="BA104" s="398">
        <f t="shared" si="84"/>
        <v>0.33333333333333331</v>
      </c>
      <c r="BB104" s="398">
        <f t="shared" si="85"/>
        <v>8.81944375E-2</v>
      </c>
      <c r="BC104" s="15"/>
      <c r="BD104" s="14">
        <f t="shared" si="86"/>
        <v>0.25</v>
      </c>
      <c r="BE104" s="759" t="s">
        <v>100</v>
      </c>
      <c r="BF104" s="679">
        <f>93/93</f>
        <v>1</v>
      </c>
      <c r="BG104" s="647" t="s">
        <v>836</v>
      </c>
      <c r="BH104" s="680" t="s">
        <v>763</v>
      </c>
      <c r="BI104" s="658" t="str">
        <f t="shared" si="63"/>
        <v>ALTO</v>
      </c>
      <c r="BJ104" s="681">
        <f t="shared" si="87"/>
        <v>0.25</v>
      </c>
      <c r="BK104" s="647" t="s">
        <v>837</v>
      </c>
      <c r="BL104" s="682">
        <f t="shared" si="64"/>
        <v>0.04</v>
      </c>
      <c r="BM104" s="682">
        <f t="shared" si="65"/>
        <v>0.1875</v>
      </c>
      <c r="BN104" s="682">
        <f t="shared" si="66"/>
        <v>0.70866147312295069</v>
      </c>
      <c r="BO104" s="658"/>
      <c r="BP104" s="853">
        <f t="shared" si="76"/>
        <v>0.25</v>
      </c>
      <c r="BQ104" s="854" t="s">
        <v>105</v>
      </c>
      <c r="BR104" s="876">
        <f>100/100</f>
        <v>1</v>
      </c>
      <c r="BS104" s="878" t="s">
        <v>838</v>
      </c>
      <c r="BT104" s="877" t="s">
        <v>766</v>
      </c>
      <c r="BU104" s="905" t="str">
        <f t="shared" si="88"/>
        <v>ALTO</v>
      </c>
      <c r="BV104" s="875">
        <f t="shared" si="89"/>
        <v>0.25</v>
      </c>
      <c r="BW104" s="874" t="s">
        <v>829</v>
      </c>
      <c r="BX104" s="857">
        <f t="shared" si="67"/>
        <v>1.5625</v>
      </c>
      <c r="BY104" s="857">
        <f t="shared" si="68"/>
        <v>0.33333333333333331</v>
      </c>
      <c r="BZ104" s="857">
        <f t="shared" si="69"/>
        <v>8.81944375E-2</v>
      </c>
      <c r="CA104" s="857">
        <f t="shared" si="70"/>
        <v>9.166666666666666E-2</v>
      </c>
      <c r="CB104" s="16">
        <f t="shared" si="71"/>
        <v>0.5</v>
      </c>
      <c r="CC104" s="16">
        <f t="shared" si="72"/>
        <v>0.5</v>
      </c>
      <c r="CD104" s="16">
        <f t="shared" si="74"/>
        <v>1</v>
      </c>
      <c r="CE104" s="16">
        <f t="shared" si="75"/>
        <v>1</v>
      </c>
      <c r="CF104" s="16" t="e">
        <f>SUM(#REF!/(CC104+CB104))</f>
        <v>#REF!</v>
      </c>
      <c r="CG104" s="17"/>
      <c r="CH104" s="17"/>
      <c r="CI104" s="17"/>
      <c r="CJ104" s="17"/>
      <c r="CV104" s="346">
        <f t="shared" si="73"/>
        <v>1</v>
      </c>
    </row>
    <row r="105" spans="1:303" s="1" customFormat="1" ht="171" x14ac:dyDescent="0.25">
      <c r="A105" s="354" t="s">
        <v>79</v>
      </c>
      <c r="B105" s="354" t="s">
        <v>80</v>
      </c>
      <c r="C105" s="354" t="s">
        <v>81</v>
      </c>
      <c r="D105" s="354" t="s">
        <v>82</v>
      </c>
      <c r="E105" s="354" t="s">
        <v>83</v>
      </c>
      <c r="F105" s="354" t="s">
        <v>84</v>
      </c>
      <c r="G105" s="354" t="s">
        <v>85</v>
      </c>
      <c r="H105" s="354" t="s">
        <v>640</v>
      </c>
      <c r="I105" s="354" t="s">
        <v>681</v>
      </c>
      <c r="J105" s="354" t="s">
        <v>752</v>
      </c>
      <c r="K105" s="383" t="s">
        <v>753</v>
      </c>
      <c r="L105" s="383" t="s">
        <v>652</v>
      </c>
      <c r="M105" s="687" t="s">
        <v>839</v>
      </c>
      <c r="N105" s="361" t="s">
        <v>444</v>
      </c>
      <c r="O105" s="361" t="s">
        <v>445</v>
      </c>
      <c r="P105" s="389">
        <v>305260714.28571427</v>
      </c>
      <c r="Q105" s="364" t="s">
        <v>654</v>
      </c>
      <c r="R105" s="364" t="s">
        <v>213</v>
      </c>
      <c r="S105" s="20">
        <v>1</v>
      </c>
      <c r="T105" s="384" t="s">
        <v>840</v>
      </c>
      <c r="U105" s="348" t="s">
        <v>841</v>
      </c>
      <c r="V105" s="348" t="s">
        <v>98</v>
      </c>
      <c r="W105" s="355" t="s">
        <v>840</v>
      </c>
      <c r="X105" s="430">
        <v>0.25</v>
      </c>
      <c r="Y105" s="430">
        <v>0.25</v>
      </c>
      <c r="Z105" s="430">
        <v>0.25</v>
      </c>
      <c r="AA105" s="431">
        <v>0.25</v>
      </c>
      <c r="AB105" s="525">
        <v>6.25</v>
      </c>
      <c r="AC105" s="413">
        <v>1.3333333333333333</v>
      </c>
      <c r="AD105" s="413">
        <v>0.35277775</v>
      </c>
      <c r="AE105" s="413">
        <v>0.36666666666666664</v>
      </c>
      <c r="AF105" s="692">
        <f t="shared" si="57"/>
        <v>0.25</v>
      </c>
      <c r="AG105" s="693" t="s">
        <v>100</v>
      </c>
      <c r="AH105" s="708">
        <v>1</v>
      </c>
      <c r="AI105" s="697" t="s">
        <v>842</v>
      </c>
      <c r="AJ105" s="697" t="s">
        <v>760</v>
      </c>
      <c r="AK105" s="693" t="str">
        <f>+IF(AND(AH105&gt;=0%,AH105&lt;=60%),"BAJO",IF(AND(AH105&gt;=61%,AH105&lt;=80%),"MEDIO","ALTO"))</f>
        <v>ALTO</v>
      </c>
      <c r="AL105" s="692">
        <f t="shared" si="77"/>
        <v>0.25</v>
      </c>
      <c r="AM105" s="697" t="s">
        <v>843</v>
      </c>
      <c r="AN105" s="693">
        <f t="shared" si="78"/>
        <v>1.5625</v>
      </c>
      <c r="AO105" s="693">
        <f t="shared" si="79"/>
        <v>0.33333333333333331</v>
      </c>
      <c r="AP105" s="693">
        <f t="shared" si="80"/>
        <v>8.81944375E-2</v>
      </c>
      <c r="AQ105" s="693"/>
      <c r="AR105" s="401">
        <f t="shared" si="58"/>
        <v>0.25</v>
      </c>
      <c r="AS105" s="402" t="s">
        <v>100</v>
      </c>
      <c r="AT105" s="625">
        <f>7/16</f>
        <v>0.4375</v>
      </c>
      <c r="AU105" s="626" t="s">
        <v>844</v>
      </c>
      <c r="AV105" s="626" t="s">
        <v>760</v>
      </c>
      <c r="AW105" s="729" t="str">
        <f t="shared" si="81"/>
        <v>BAJO</v>
      </c>
      <c r="AX105" s="397">
        <f t="shared" si="82"/>
        <v>0.109375</v>
      </c>
      <c r="AY105" s="399" t="s">
        <v>845</v>
      </c>
      <c r="AZ105" s="398">
        <f t="shared" si="83"/>
        <v>0.68359375</v>
      </c>
      <c r="BA105" s="398">
        <f t="shared" si="84"/>
        <v>0.14583333333333331</v>
      </c>
      <c r="BB105" s="398">
        <f t="shared" si="85"/>
        <v>3.858506640625E-2</v>
      </c>
      <c r="BC105" s="15"/>
      <c r="BD105" s="14">
        <f t="shared" si="86"/>
        <v>0.25</v>
      </c>
      <c r="BE105" s="759" t="s">
        <v>100</v>
      </c>
      <c r="BF105" s="679">
        <f>3/3</f>
        <v>1</v>
      </c>
      <c r="BG105" s="647" t="s">
        <v>846</v>
      </c>
      <c r="BH105" s="680" t="s">
        <v>763</v>
      </c>
      <c r="BI105" s="658" t="str">
        <f t="shared" si="63"/>
        <v>ALTO</v>
      </c>
      <c r="BJ105" s="681">
        <f t="shared" si="87"/>
        <v>0.25</v>
      </c>
      <c r="BK105" s="647" t="s">
        <v>847</v>
      </c>
      <c r="BL105" s="682">
        <f t="shared" si="64"/>
        <v>0.04</v>
      </c>
      <c r="BM105" s="682">
        <f t="shared" si="65"/>
        <v>0.1875</v>
      </c>
      <c r="BN105" s="682">
        <f t="shared" si="66"/>
        <v>0.70866147312295069</v>
      </c>
      <c r="BO105" s="658"/>
      <c r="BP105" s="853">
        <f t="shared" si="76"/>
        <v>0.25</v>
      </c>
      <c r="BQ105" s="854" t="s">
        <v>105</v>
      </c>
      <c r="BR105" s="876">
        <f>15/100</f>
        <v>0.15</v>
      </c>
      <c r="BS105" s="858" t="s">
        <v>848</v>
      </c>
      <c r="BT105" s="877" t="s">
        <v>766</v>
      </c>
      <c r="BU105" s="907" t="str">
        <f t="shared" si="88"/>
        <v>BAJO</v>
      </c>
      <c r="BV105" s="875">
        <f t="shared" si="89"/>
        <v>3.7499999999999999E-2</v>
      </c>
      <c r="BW105" s="874" t="s">
        <v>849</v>
      </c>
      <c r="BX105" s="857">
        <f t="shared" si="67"/>
        <v>0.234375</v>
      </c>
      <c r="BY105" s="857">
        <f t="shared" si="68"/>
        <v>4.9999999999999996E-2</v>
      </c>
      <c r="BZ105" s="857">
        <f t="shared" si="69"/>
        <v>1.3229165624999999E-2</v>
      </c>
      <c r="CA105" s="857">
        <f t="shared" si="70"/>
        <v>1.3749999999999998E-2</v>
      </c>
      <c r="CB105" s="16">
        <f t="shared" si="71"/>
        <v>0.5</v>
      </c>
      <c r="CC105" s="16">
        <f t="shared" si="72"/>
        <v>0.5</v>
      </c>
      <c r="CD105" s="16">
        <f t="shared" si="74"/>
        <v>1</v>
      </c>
      <c r="CE105" s="16">
        <f t="shared" si="75"/>
        <v>0.64687499999999998</v>
      </c>
      <c r="CF105" s="16" t="e">
        <f>SUM(#REF!/(CC105+CB105))</f>
        <v>#REF!</v>
      </c>
      <c r="CG105" s="17"/>
      <c r="CH105" s="17"/>
      <c r="CI105" s="17"/>
      <c r="CJ105" s="17"/>
      <c r="CV105" s="346">
        <f t="shared" si="73"/>
        <v>1</v>
      </c>
    </row>
    <row r="106" spans="1:303" s="5" customFormat="1" ht="171" x14ac:dyDescent="0.25">
      <c r="A106" s="356" t="s">
        <v>79</v>
      </c>
      <c r="B106" s="356" t="s">
        <v>80</v>
      </c>
      <c r="C106" s="356" t="s">
        <v>81</v>
      </c>
      <c r="D106" s="356" t="s">
        <v>82</v>
      </c>
      <c r="E106" s="356" t="s">
        <v>83</v>
      </c>
      <c r="F106" s="356" t="s">
        <v>84</v>
      </c>
      <c r="G106" s="356" t="s">
        <v>85</v>
      </c>
      <c r="H106" s="356" t="s">
        <v>86</v>
      </c>
      <c r="I106" s="356" t="s">
        <v>87</v>
      </c>
      <c r="J106" s="356" t="s">
        <v>152</v>
      </c>
      <c r="K106" s="382" t="s">
        <v>753</v>
      </c>
      <c r="L106" s="382" t="s">
        <v>652</v>
      </c>
      <c r="M106" s="357" t="s">
        <v>153</v>
      </c>
      <c r="N106" s="367" t="s">
        <v>91</v>
      </c>
      <c r="O106" s="367" t="s">
        <v>154</v>
      </c>
      <c r="P106" s="930">
        <v>39542136.277533107</v>
      </c>
      <c r="Q106" s="382" t="s">
        <v>654</v>
      </c>
      <c r="R106" s="382" t="s">
        <v>156</v>
      </c>
      <c r="S106" s="357">
        <v>3</v>
      </c>
      <c r="T106" s="369" t="s">
        <v>157</v>
      </c>
      <c r="U106" s="357" t="s">
        <v>158</v>
      </c>
      <c r="V106" s="370" t="s">
        <v>98</v>
      </c>
      <c r="W106" s="497" t="s">
        <v>159</v>
      </c>
      <c r="X106" s="432">
        <v>0</v>
      </c>
      <c r="Y106" s="432">
        <v>0.34</v>
      </c>
      <c r="Z106" s="432">
        <v>0.33</v>
      </c>
      <c r="AA106" s="444">
        <v>0.33</v>
      </c>
      <c r="AB106" s="525">
        <v>6.25</v>
      </c>
      <c r="AC106" s="413">
        <v>1.3333333333333333</v>
      </c>
      <c r="AD106" s="413">
        <v>0.35277775</v>
      </c>
      <c r="AE106" s="413">
        <v>0.37727272727272726</v>
      </c>
      <c r="AF106" s="692">
        <f t="shared" si="57"/>
        <v>0</v>
      </c>
      <c r="AG106" s="693" t="s">
        <v>146</v>
      </c>
      <c r="AH106" s="707">
        <v>0</v>
      </c>
      <c r="AI106" s="695"/>
      <c r="AJ106" s="697" t="s">
        <v>758</v>
      </c>
      <c r="AK106" s="693"/>
      <c r="AL106" s="692">
        <f t="shared" si="77"/>
        <v>0</v>
      </c>
      <c r="AM106" s="697" t="s">
        <v>121</v>
      </c>
      <c r="AN106" s="693">
        <f t="shared" si="78"/>
        <v>0</v>
      </c>
      <c r="AO106" s="693">
        <f t="shared" si="79"/>
        <v>0</v>
      </c>
      <c r="AP106" s="693">
        <f t="shared" si="80"/>
        <v>0</v>
      </c>
      <c r="AQ106" s="693"/>
      <c r="AR106" s="401">
        <f t="shared" si="58"/>
        <v>0.34</v>
      </c>
      <c r="AS106" s="402" t="s">
        <v>100</v>
      </c>
      <c r="AT106" s="625">
        <f>1/1</f>
        <v>1</v>
      </c>
      <c r="AU106" s="403" t="s">
        <v>850</v>
      </c>
      <c r="AV106" s="626" t="s">
        <v>760</v>
      </c>
      <c r="AW106" s="729" t="str">
        <f t="shared" si="81"/>
        <v>ALTO</v>
      </c>
      <c r="AX106" s="397">
        <f t="shared" si="82"/>
        <v>0.34</v>
      </c>
      <c r="AY106" s="399" t="s">
        <v>102</v>
      </c>
      <c r="AZ106" s="398">
        <f t="shared" si="83"/>
        <v>2.125</v>
      </c>
      <c r="BA106" s="398">
        <f t="shared" si="84"/>
        <v>0.45333333333333337</v>
      </c>
      <c r="BB106" s="398">
        <f t="shared" si="85"/>
        <v>0.11994443500000002</v>
      </c>
      <c r="BC106" s="15"/>
      <c r="BD106" s="14">
        <f t="shared" si="86"/>
        <v>0.33</v>
      </c>
      <c r="BE106" s="759" t="s">
        <v>100</v>
      </c>
      <c r="BF106" s="679">
        <f>1/1</f>
        <v>1</v>
      </c>
      <c r="BG106" s="680" t="s">
        <v>851</v>
      </c>
      <c r="BH106" s="680" t="s">
        <v>763</v>
      </c>
      <c r="BI106" s="658" t="str">
        <f t="shared" si="63"/>
        <v>ALTO</v>
      </c>
      <c r="BJ106" s="681">
        <f t="shared" si="87"/>
        <v>0.33</v>
      </c>
      <c r="BK106" s="658" t="s">
        <v>852</v>
      </c>
      <c r="BL106" s="682">
        <f t="shared" si="64"/>
        <v>5.28E-2</v>
      </c>
      <c r="BM106" s="682">
        <f t="shared" si="65"/>
        <v>0.24750000000000003</v>
      </c>
      <c r="BN106" s="682">
        <f t="shared" si="66"/>
        <v>0.93543314452229487</v>
      </c>
      <c r="BO106" s="658"/>
      <c r="BP106" s="853">
        <f t="shared" si="76"/>
        <v>0.33</v>
      </c>
      <c r="BQ106" s="854" t="s">
        <v>105</v>
      </c>
      <c r="BR106" s="876">
        <v>0</v>
      </c>
      <c r="BS106" s="879" t="s">
        <v>850</v>
      </c>
      <c r="BT106" s="880" t="s">
        <v>760</v>
      </c>
      <c r="BU106" s="907" t="str">
        <f t="shared" si="88"/>
        <v>BAJO</v>
      </c>
      <c r="BV106" s="875">
        <f t="shared" si="89"/>
        <v>0</v>
      </c>
      <c r="BW106" s="874" t="s">
        <v>853</v>
      </c>
      <c r="BX106" s="857">
        <f t="shared" si="67"/>
        <v>0</v>
      </c>
      <c r="BY106" s="857">
        <f t="shared" si="68"/>
        <v>0</v>
      </c>
      <c r="BZ106" s="857">
        <f t="shared" si="69"/>
        <v>0</v>
      </c>
      <c r="CA106" s="857">
        <f t="shared" si="70"/>
        <v>0</v>
      </c>
      <c r="CB106" s="16">
        <f t="shared" si="71"/>
        <v>0.66</v>
      </c>
      <c r="CC106" s="16">
        <f t="shared" si="72"/>
        <v>0.34</v>
      </c>
      <c r="CD106" s="16">
        <f t="shared" si="74"/>
        <v>1</v>
      </c>
      <c r="CE106" s="16">
        <f t="shared" si="75"/>
        <v>0.67</v>
      </c>
      <c r="CF106" s="16" t="e">
        <f>SUM(#REF!/(CC106+CB106))</f>
        <v>#REF!</v>
      </c>
      <c r="CG106" s="17"/>
      <c r="CH106" s="17"/>
      <c r="CI106" s="17"/>
      <c r="CJ106" s="17"/>
      <c r="CK106" s="3" t="s">
        <v>165</v>
      </c>
      <c r="CL106" s="1"/>
      <c r="CM106" s="1"/>
      <c r="CN106" s="1"/>
      <c r="CO106" s="1"/>
      <c r="CP106" s="1"/>
      <c r="CQ106" s="1"/>
      <c r="CR106" s="1"/>
      <c r="CS106" s="1"/>
      <c r="CT106" s="1"/>
      <c r="CU106" s="1"/>
      <c r="CV106" s="346">
        <f t="shared" si="73"/>
        <v>1</v>
      </c>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c r="GF106" s="1"/>
      <c r="GG106" s="1"/>
      <c r="GH106" s="1"/>
      <c r="GI106" s="1"/>
      <c r="GJ106" s="1"/>
      <c r="GK106" s="1"/>
      <c r="GL106" s="1"/>
      <c r="GM106" s="1"/>
      <c r="GN106" s="1"/>
      <c r="GO106" s="1"/>
      <c r="GP106" s="1"/>
      <c r="GQ106" s="1"/>
      <c r="GR106" s="1"/>
      <c r="GS106" s="1"/>
      <c r="GT106" s="1"/>
      <c r="GU106" s="1"/>
      <c r="GV106" s="1"/>
      <c r="GW106" s="1"/>
      <c r="GX106" s="1"/>
      <c r="GY106" s="1"/>
      <c r="GZ106" s="1"/>
      <c r="HA106" s="1"/>
      <c r="HB106" s="1"/>
      <c r="HC106" s="1"/>
      <c r="HD106" s="1"/>
      <c r="HE106" s="1"/>
      <c r="HF106" s="1"/>
      <c r="HG106" s="1"/>
      <c r="HH106" s="1"/>
      <c r="HI106" s="1"/>
      <c r="HJ106" s="1"/>
      <c r="HK106" s="1"/>
      <c r="HL106" s="1"/>
      <c r="HM106" s="1"/>
      <c r="HN106" s="1"/>
      <c r="HO106" s="1"/>
      <c r="HP106" s="1"/>
      <c r="HQ106" s="1"/>
      <c r="HR106" s="1"/>
      <c r="HS106" s="1"/>
      <c r="HT106" s="1"/>
      <c r="HU106" s="1"/>
      <c r="HV106" s="1"/>
      <c r="HW106" s="1"/>
      <c r="HX106" s="1"/>
      <c r="HY106" s="1"/>
      <c r="HZ106" s="1"/>
      <c r="IA106" s="1"/>
      <c r="IB106" s="1"/>
      <c r="IC106" s="1"/>
      <c r="ID106" s="1"/>
      <c r="IE106" s="1"/>
      <c r="IF106" s="1"/>
      <c r="IG106" s="1"/>
      <c r="IH106" s="1"/>
      <c r="II106" s="1"/>
      <c r="IJ106" s="1"/>
      <c r="IK106" s="1"/>
      <c r="IL106" s="1"/>
      <c r="IM106" s="1"/>
      <c r="IN106" s="1"/>
      <c r="IO106" s="1"/>
      <c r="IP106" s="1"/>
      <c r="IQ106" s="1"/>
      <c r="IR106" s="1"/>
      <c r="IS106" s="1"/>
      <c r="IT106" s="1"/>
      <c r="IU106" s="1"/>
      <c r="IV106" s="1"/>
      <c r="IW106" s="1"/>
      <c r="IX106" s="1"/>
      <c r="IY106" s="1"/>
      <c r="IZ106" s="1"/>
      <c r="JA106" s="1"/>
      <c r="JB106" s="1"/>
      <c r="JC106" s="1"/>
      <c r="JD106" s="1"/>
      <c r="JE106" s="1"/>
      <c r="JF106" s="1"/>
      <c r="JG106" s="1"/>
      <c r="JH106" s="1"/>
      <c r="JI106" s="1"/>
      <c r="JJ106" s="1"/>
      <c r="JK106" s="1"/>
      <c r="JL106" s="1"/>
      <c r="JM106" s="1"/>
      <c r="JN106" s="1"/>
      <c r="JO106" s="1"/>
      <c r="JP106" s="1"/>
      <c r="JQ106" s="1"/>
      <c r="JR106" s="1"/>
      <c r="JS106" s="1"/>
      <c r="JT106" s="1"/>
      <c r="JU106" s="1"/>
      <c r="JV106" s="1"/>
      <c r="JW106" s="1"/>
      <c r="JX106" s="1"/>
      <c r="JY106" s="1"/>
      <c r="JZ106" s="1"/>
      <c r="KA106" s="1"/>
      <c r="KB106" s="1"/>
      <c r="KC106" s="1"/>
      <c r="KD106" s="1"/>
      <c r="KE106" s="1"/>
      <c r="KF106" s="1"/>
      <c r="KG106" s="1"/>
      <c r="KH106" s="1"/>
      <c r="KI106" s="1"/>
      <c r="KJ106" s="1"/>
      <c r="KK106" s="1"/>
      <c r="KL106" s="1"/>
      <c r="KM106" s="1"/>
      <c r="KN106" s="1"/>
      <c r="KO106" s="1"/>
      <c r="KP106" s="1"/>
      <c r="KQ106" s="1"/>
    </row>
    <row r="107" spans="1:303" s="5" customFormat="1" ht="171" x14ac:dyDescent="0.25">
      <c r="A107" s="356" t="s">
        <v>79</v>
      </c>
      <c r="B107" s="356" t="s">
        <v>80</v>
      </c>
      <c r="C107" s="356" t="s">
        <v>81</v>
      </c>
      <c r="D107" s="356" t="s">
        <v>82</v>
      </c>
      <c r="E107" s="356" t="s">
        <v>83</v>
      </c>
      <c r="F107" s="356" t="s">
        <v>84</v>
      </c>
      <c r="G107" s="356" t="s">
        <v>85</v>
      </c>
      <c r="H107" s="356" t="s">
        <v>86</v>
      </c>
      <c r="I107" s="356" t="s">
        <v>87</v>
      </c>
      <c r="J107" s="356" t="s">
        <v>152</v>
      </c>
      <c r="K107" s="382" t="s">
        <v>753</v>
      </c>
      <c r="L107" s="382" t="s">
        <v>652</v>
      </c>
      <c r="M107" s="357" t="s">
        <v>166</v>
      </c>
      <c r="N107" s="367" t="s">
        <v>91</v>
      </c>
      <c r="O107" s="367" t="s">
        <v>154</v>
      </c>
      <c r="P107" s="930">
        <v>39542136.277533107</v>
      </c>
      <c r="Q107" s="382" t="s">
        <v>654</v>
      </c>
      <c r="R107" s="382" t="s">
        <v>156</v>
      </c>
      <c r="S107" s="357">
        <v>3</v>
      </c>
      <c r="T107" s="377" t="s">
        <v>167</v>
      </c>
      <c r="U107" s="357" t="s">
        <v>168</v>
      </c>
      <c r="V107" s="357" t="s">
        <v>98</v>
      </c>
      <c r="W107" s="497" t="s">
        <v>616</v>
      </c>
      <c r="X107" s="432">
        <v>0</v>
      </c>
      <c r="Y107" s="432">
        <v>0.34</v>
      </c>
      <c r="Z107" s="432">
        <v>0.33</v>
      </c>
      <c r="AA107" s="444">
        <v>0.33</v>
      </c>
      <c r="AB107" s="525">
        <v>6.25</v>
      </c>
      <c r="AC107" s="413">
        <v>1.3333333333333333</v>
      </c>
      <c r="AD107" s="413">
        <v>0.35277775</v>
      </c>
      <c r="AE107" s="413">
        <v>0.37727272727272726</v>
      </c>
      <c r="AF107" s="692">
        <f t="shared" si="57"/>
        <v>0</v>
      </c>
      <c r="AG107" s="693" t="s">
        <v>146</v>
      </c>
      <c r="AH107" s="707">
        <v>0</v>
      </c>
      <c r="AI107" s="695"/>
      <c r="AJ107" s="697" t="s">
        <v>758</v>
      </c>
      <c r="AK107" s="693"/>
      <c r="AL107" s="692">
        <f t="shared" si="77"/>
        <v>0</v>
      </c>
      <c r="AM107" s="697" t="s">
        <v>121</v>
      </c>
      <c r="AN107" s="693">
        <f t="shared" si="78"/>
        <v>0</v>
      </c>
      <c r="AO107" s="693">
        <f t="shared" si="79"/>
        <v>0</v>
      </c>
      <c r="AP107" s="693">
        <f t="shared" si="80"/>
        <v>0</v>
      </c>
      <c r="AQ107" s="693"/>
      <c r="AR107" s="401">
        <f t="shared" si="58"/>
        <v>0.34</v>
      </c>
      <c r="AS107" s="402" t="s">
        <v>100</v>
      </c>
      <c r="AT107" s="405">
        <f>1/1</f>
        <v>1</v>
      </c>
      <c r="AU107" s="626" t="s">
        <v>854</v>
      </c>
      <c r="AV107" s="626" t="s">
        <v>760</v>
      </c>
      <c r="AW107" s="729" t="str">
        <f t="shared" si="81"/>
        <v>ALTO</v>
      </c>
      <c r="AX107" s="397">
        <f t="shared" si="82"/>
        <v>0.34</v>
      </c>
      <c r="AY107" s="399" t="s">
        <v>102</v>
      </c>
      <c r="AZ107" s="398">
        <f t="shared" si="83"/>
        <v>2.125</v>
      </c>
      <c r="BA107" s="398">
        <f t="shared" si="84"/>
        <v>0.45333333333333337</v>
      </c>
      <c r="BB107" s="398">
        <f t="shared" si="85"/>
        <v>0.11994443500000002</v>
      </c>
      <c r="BC107" s="15"/>
      <c r="BD107" s="14">
        <f t="shared" si="86"/>
        <v>0.33</v>
      </c>
      <c r="BE107" s="759" t="s">
        <v>100</v>
      </c>
      <c r="BF107" s="679">
        <f>1/1</f>
        <v>1</v>
      </c>
      <c r="BG107" s="680" t="s">
        <v>795</v>
      </c>
      <c r="BH107" s="680" t="s">
        <v>855</v>
      </c>
      <c r="BI107" s="658" t="str">
        <f t="shared" si="63"/>
        <v>ALTO</v>
      </c>
      <c r="BJ107" s="681">
        <f t="shared" si="87"/>
        <v>0.33</v>
      </c>
      <c r="BK107" s="647" t="s">
        <v>856</v>
      </c>
      <c r="BL107" s="682">
        <f t="shared" si="64"/>
        <v>5.28E-2</v>
      </c>
      <c r="BM107" s="682">
        <f t="shared" si="65"/>
        <v>0.24750000000000003</v>
      </c>
      <c r="BN107" s="682">
        <f t="shared" si="66"/>
        <v>0.93543314452229487</v>
      </c>
      <c r="BO107" s="658"/>
      <c r="BP107" s="853">
        <f t="shared" si="76"/>
        <v>0.33</v>
      </c>
      <c r="BQ107" s="854" t="s">
        <v>105</v>
      </c>
      <c r="BR107" s="876">
        <v>1</v>
      </c>
      <c r="BS107" s="880" t="s">
        <v>854</v>
      </c>
      <c r="BT107" s="880" t="s">
        <v>760</v>
      </c>
      <c r="BU107" s="905" t="str">
        <f t="shared" si="88"/>
        <v>ALTO</v>
      </c>
      <c r="BV107" s="875">
        <f t="shared" si="89"/>
        <v>0.33</v>
      </c>
      <c r="BW107" s="862" t="s">
        <v>521</v>
      </c>
      <c r="BX107" s="857">
        <f t="shared" si="67"/>
        <v>2.0625</v>
      </c>
      <c r="BY107" s="857">
        <f t="shared" si="68"/>
        <v>0.44</v>
      </c>
      <c r="BZ107" s="857">
        <f t="shared" si="69"/>
        <v>0.11641665750000001</v>
      </c>
      <c r="CA107" s="857">
        <f t="shared" si="70"/>
        <v>0.1245</v>
      </c>
      <c r="CB107" s="16">
        <f t="shared" si="71"/>
        <v>0.66</v>
      </c>
      <c r="CC107" s="16">
        <f t="shared" si="72"/>
        <v>0.34</v>
      </c>
      <c r="CD107" s="16">
        <f t="shared" si="74"/>
        <v>1</v>
      </c>
      <c r="CE107" s="16">
        <f t="shared" si="75"/>
        <v>1</v>
      </c>
      <c r="CF107" s="16" t="e">
        <f>SUM(#REF!/(CC107+CB107))</f>
        <v>#REF!</v>
      </c>
      <c r="CG107" s="17"/>
      <c r="CH107" s="17"/>
      <c r="CI107" s="17"/>
      <c r="CJ107" s="17"/>
      <c r="CK107" s="3" t="s">
        <v>165</v>
      </c>
      <c r="CL107" s="1"/>
      <c r="CM107" s="1"/>
      <c r="CN107" s="1"/>
      <c r="CO107" s="1"/>
      <c r="CP107" s="1"/>
      <c r="CQ107" s="1"/>
      <c r="CR107" s="1"/>
      <c r="CS107" s="1"/>
      <c r="CT107" s="1"/>
      <c r="CU107" s="1"/>
      <c r="CV107" s="346">
        <f t="shared" si="73"/>
        <v>1</v>
      </c>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c r="GF107" s="1"/>
      <c r="GG107" s="1"/>
      <c r="GH107" s="1"/>
      <c r="GI107" s="1"/>
      <c r="GJ107" s="1"/>
      <c r="GK107" s="1"/>
      <c r="GL107" s="1"/>
      <c r="GM107" s="1"/>
      <c r="GN107" s="1"/>
      <c r="GO107" s="1"/>
      <c r="GP107" s="1"/>
      <c r="GQ107" s="1"/>
      <c r="GR107" s="1"/>
      <c r="GS107" s="1"/>
      <c r="GT107" s="1"/>
      <c r="GU107" s="1"/>
      <c r="GV107" s="1"/>
      <c r="GW107" s="1"/>
      <c r="GX107" s="1"/>
      <c r="GY107" s="1"/>
      <c r="GZ107" s="1"/>
      <c r="HA107" s="1"/>
      <c r="HB107" s="1"/>
      <c r="HC107" s="1"/>
      <c r="HD107" s="1"/>
      <c r="HE107" s="1"/>
      <c r="HF107" s="1"/>
      <c r="HG107" s="1"/>
      <c r="HH107" s="1"/>
      <c r="HI107" s="1"/>
      <c r="HJ107" s="1"/>
      <c r="HK107" s="1"/>
      <c r="HL107" s="1"/>
      <c r="HM107" s="1"/>
      <c r="HN107" s="1"/>
      <c r="HO107" s="1"/>
      <c r="HP107" s="1"/>
      <c r="HQ107" s="1"/>
      <c r="HR107" s="1"/>
      <c r="HS107" s="1"/>
      <c r="HT107" s="1"/>
      <c r="HU107" s="1"/>
      <c r="HV107" s="1"/>
      <c r="HW107" s="1"/>
      <c r="HX107" s="1"/>
      <c r="HY107" s="1"/>
      <c r="HZ107" s="1"/>
      <c r="IA107" s="1"/>
      <c r="IB107" s="1"/>
      <c r="IC107" s="1"/>
      <c r="ID107" s="1"/>
      <c r="IE107" s="1"/>
      <c r="IF107" s="1"/>
      <c r="IG107" s="1"/>
      <c r="IH107" s="1"/>
      <c r="II107" s="1"/>
      <c r="IJ107" s="1"/>
      <c r="IK107" s="1"/>
      <c r="IL107" s="1"/>
      <c r="IM107" s="1"/>
      <c r="IN107" s="1"/>
      <c r="IO107" s="1"/>
      <c r="IP107" s="1"/>
      <c r="IQ107" s="1"/>
      <c r="IR107" s="1"/>
      <c r="IS107" s="1"/>
      <c r="IT107" s="1"/>
      <c r="IU107" s="1"/>
      <c r="IV107" s="1"/>
      <c r="IW107" s="1"/>
      <c r="IX107" s="1"/>
      <c r="IY107" s="1"/>
      <c r="IZ107" s="1"/>
      <c r="JA107" s="1"/>
      <c r="JB107" s="1"/>
      <c r="JC107" s="1"/>
      <c r="JD107" s="1"/>
      <c r="JE107" s="1"/>
      <c r="JF107" s="1"/>
      <c r="JG107" s="1"/>
      <c r="JH107" s="1"/>
      <c r="JI107" s="1"/>
      <c r="JJ107" s="1"/>
      <c r="JK107" s="1"/>
      <c r="JL107" s="1"/>
      <c r="JM107" s="1"/>
      <c r="JN107" s="1"/>
      <c r="JO107" s="1"/>
      <c r="JP107" s="1"/>
      <c r="JQ107" s="1"/>
      <c r="JR107" s="1"/>
      <c r="JS107" s="1"/>
      <c r="JT107" s="1"/>
      <c r="JU107" s="1"/>
      <c r="JV107" s="1"/>
      <c r="JW107" s="1"/>
      <c r="JX107" s="1"/>
      <c r="JY107" s="1"/>
      <c r="JZ107" s="1"/>
      <c r="KA107" s="1"/>
      <c r="KB107" s="1"/>
      <c r="KC107" s="1"/>
      <c r="KD107" s="1"/>
      <c r="KE107" s="1"/>
      <c r="KF107" s="1"/>
      <c r="KG107" s="1"/>
      <c r="KH107" s="1"/>
      <c r="KI107" s="1"/>
      <c r="KJ107" s="1"/>
      <c r="KK107" s="1"/>
      <c r="KL107" s="1"/>
      <c r="KM107" s="1"/>
      <c r="KN107" s="1"/>
      <c r="KO107" s="1"/>
      <c r="KP107" s="1"/>
      <c r="KQ107" s="1"/>
    </row>
    <row r="108" spans="1:303" s="5" customFormat="1" ht="171" x14ac:dyDescent="0.25">
      <c r="A108" s="356" t="s">
        <v>79</v>
      </c>
      <c r="B108" s="356" t="s">
        <v>80</v>
      </c>
      <c r="C108" s="356" t="s">
        <v>81</v>
      </c>
      <c r="D108" s="356" t="s">
        <v>82</v>
      </c>
      <c r="E108" s="356" t="s">
        <v>83</v>
      </c>
      <c r="F108" s="356" t="s">
        <v>84</v>
      </c>
      <c r="G108" s="356" t="s">
        <v>85</v>
      </c>
      <c r="H108" s="356" t="s">
        <v>86</v>
      </c>
      <c r="I108" s="356" t="s">
        <v>87</v>
      </c>
      <c r="J108" s="356" t="s">
        <v>152</v>
      </c>
      <c r="K108" s="382" t="s">
        <v>753</v>
      </c>
      <c r="L108" s="382" t="s">
        <v>652</v>
      </c>
      <c r="M108" s="357" t="s">
        <v>174</v>
      </c>
      <c r="N108" s="367" t="s">
        <v>91</v>
      </c>
      <c r="O108" s="367" t="s">
        <v>154</v>
      </c>
      <c r="P108" s="930">
        <v>39542136.277533107</v>
      </c>
      <c r="Q108" s="382" t="s">
        <v>654</v>
      </c>
      <c r="R108" s="382" t="s">
        <v>156</v>
      </c>
      <c r="S108" s="357">
        <v>3</v>
      </c>
      <c r="T108" s="371" t="s">
        <v>175</v>
      </c>
      <c r="U108" s="357" t="s">
        <v>176</v>
      </c>
      <c r="V108" s="357" t="s">
        <v>98</v>
      </c>
      <c r="W108" s="497" t="s">
        <v>159</v>
      </c>
      <c r="X108" s="432">
        <v>0</v>
      </c>
      <c r="Y108" s="432">
        <v>0.33</v>
      </c>
      <c r="Z108" s="432">
        <v>0.33</v>
      </c>
      <c r="AA108" s="444">
        <v>0.34</v>
      </c>
      <c r="AB108" s="525">
        <v>6.25</v>
      </c>
      <c r="AC108" s="413">
        <v>1.3333333333333333</v>
      </c>
      <c r="AD108" s="413">
        <v>0.35277775</v>
      </c>
      <c r="AE108" s="413">
        <v>0.37727272727272726</v>
      </c>
      <c r="AF108" s="692">
        <f t="shared" si="57"/>
        <v>0</v>
      </c>
      <c r="AG108" s="693" t="s">
        <v>146</v>
      </c>
      <c r="AH108" s="707">
        <v>0</v>
      </c>
      <c r="AI108" s="695"/>
      <c r="AJ108" s="697" t="s">
        <v>758</v>
      </c>
      <c r="AK108" s="693"/>
      <c r="AL108" s="692">
        <f t="shared" si="77"/>
        <v>0</v>
      </c>
      <c r="AM108" s="697" t="s">
        <v>121</v>
      </c>
      <c r="AN108" s="693">
        <f t="shared" si="78"/>
        <v>0</v>
      </c>
      <c r="AO108" s="693">
        <f t="shared" si="79"/>
        <v>0</v>
      </c>
      <c r="AP108" s="693">
        <f t="shared" si="80"/>
        <v>0</v>
      </c>
      <c r="AQ108" s="693"/>
      <c r="AR108" s="401">
        <f t="shared" si="58"/>
        <v>0.33</v>
      </c>
      <c r="AS108" s="402" t="s">
        <v>100</v>
      </c>
      <c r="AT108" s="405">
        <f>1/1</f>
        <v>1</v>
      </c>
      <c r="AU108" s="626" t="s">
        <v>854</v>
      </c>
      <c r="AV108" s="626" t="s">
        <v>760</v>
      </c>
      <c r="AW108" s="729" t="str">
        <f t="shared" si="81"/>
        <v>ALTO</v>
      </c>
      <c r="AX108" s="397">
        <f t="shared" si="82"/>
        <v>0.33</v>
      </c>
      <c r="AY108" s="399" t="s">
        <v>102</v>
      </c>
      <c r="AZ108" s="398">
        <f t="shared" si="83"/>
        <v>2.0625</v>
      </c>
      <c r="BA108" s="398">
        <f t="shared" si="84"/>
        <v>0.44</v>
      </c>
      <c r="BB108" s="398">
        <f t="shared" si="85"/>
        <v>0.11641665750000001</v>
      </c>
      <c r="BC108" s="15"/>
      <c r="BD108" s="14">
        <f t="shared" si="86"/>
        <v>0.33</v>
      </c>
      <c r="BE108" s="759" t="s">
        <v>100</v>
      </c>
      <c r="BF108" s="679">
        <v>1</v>
      </c>
      <c r="BG108" s="648" t="s">
        <v>857</v>
      </c>
      <c r="BH108" s="680" t="s">
        <v>763</v>
      </c>
      <c r="BI108" s="658" t="str">
        <f t="shared" si="63"/>
        <v>ALTO</v>
      </c>
      <c r="BJ108" s="681">
        <f t="shared" si="87"/>
        <v>0.33</v>
      </c>
      <c r="BK108" s="647" t="s">
        <v>858</v>
      </c>
      <c r="BL108" s="682">
        <f t="shared" si="64"/>
        <v>5.28E-2</v>
      </c>
      <c r="BM108" s="682">
        <f t="shared" si="65"/>
        <v>0.24750000000000003</v>
      </c>
      <c r="BN108" s="682">
        <f t="shared" si="66"/>
        <v>0.93543314452229487</v>
      </c>
      <c r="BO108" s="658"/>
      <c r="BP108" s="853">
        <f t="shared" si="76"/>
        <v>0.34</v>
      </c>
      <c r="BQ108" s="854" t="s">
        <v>105</v>
      </c>
      <c r="BR108" s="855">
        <v>1</v>
      </c>
      <c r="BS108" s="880" t="s">
        <v>859</v>
      </c>
      <c r="BT108" s="880" t="s">
        <v>760</v>
      </c>
      <c r="BU108" s="905" t="str">
        <f t="shared" si="88"/>
        <v>ALTO</v>
      </c>
      <c r="BV108" s="875">
        <f t="shared" si="89"/>
        <v>0.34</v>
      </c>
      <c r="BW108" s="859" t="s">
        <v>180</v>
      </c>
      <c r="BX108" s="857">
        <f t="shared" si="67"/>
        <v>2.125</v>
      </c>
      <c r="BY108" s="857">
        <f t="shared" si="68"/>
        <v>0.45333333333333337</v>
      </c>
      <c r="BZ108" s="857">
        <f t="shared" si="69"/>
        <v>0.11994443500000002</v>
      </c>
      <c r="CA108" s="857">
        <f t="shared" si="70"/>
        <v>0.12827272727272729</v>
      </c>
      <c r="CB108" s="16">
        <f t="shared" si="71"/>
        <v>0.67</v>
      </c>
      <c r="CC108" s="16">
        <f t="shared" si="72"/>
        <v>0.33</v>
      </c>
      <c r="CD108" s="16">
        <f t="shared" si="74"/>
        <v>1</v>
      </c>
      <c r="CE108" s="16">
        <f t="shared" si="75"/>
        <v>1</v>
      </c>
      <c r="CF108" s="16" t="e">
        <f>SUM(#REF!/(CC108+CB108))</f>
        <v>#REF!</v>
      </c>
      <c r="CG108" s="17"/>
      <c r="CH108" s="17"/>
      <c r="CI108" s="17"/>
      <c r="CJ108" s="17"/>
      <c r="CK108" s="3" t="s">
        <v>165</v>
      </c>
      <c r="CL108" s="1"/>
      <c r="CM108" s="1"/>
      <c r="CN108" s="1"/>
      <c r="CO108" s="1"/>
      <c r="CP108" s="1"/>
      <c r="CQ108" s="1"/>
      <c r="CR108" s="1"/>
      <c r="CS108" s="1"/>
      <c r="CT108" s="1"/>
      <c r="CU108" s="1"/>
      <c r="CV108" s="346">
        <f t="shared" si="73"/>
        <v>1</v>
      </c>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c r="GF108" s="1"/>
      <c r="GG108" s="1"/>
      <c r="GH108" s="1"/>
      <c r="GI108" s="1"/>
      <c r="GJ108" s="1"/>
      <c r="GK108" s="1"/>
      <c r="GL108" s="1"/>
      <c r="GM108" s="1"/>
      <c r="GN108" s="1"/>
      <c r="GO108" s="1"/>
      <c r="GP108" s="1"/>
      <c r="GQ108" s="1"/>
      <c r="GR108" s="1"/>
      <c r="GS108" s="1"/>
      <c r="GT108" s="1"/>
      <c r="GU108" s="1"/>
      <c r="GV108" s="1"/>
      <c r="GW108" s="1"/>
      <c r="GX108" s="1"/>
      <c r="GY108" s="1"/>
      <c r="GZ108" s="1"/>
      <c r="HA108" s="1"/>
      <c r="HB108" s="1"/>
      <c r="HC108" s="1"/>
      <c r="HD108" s="1"/>
      <c r="HE108" s="1"/>
      <c r="HF108" s="1"/>
      <c r="HG108" s="1"/>
      <c r="HH108" s="1"/>
      <c r="HI108" s="1"/>
      <c r="HJ108" s="1"/>
      <c r="HK108" s="1"/>
      <c r="HL108" s="1"/>
      <c r="HM108" s="1"/>
      <c r="HN108" s="1"/>
      <c r="HO108" s="1"/>
      <c r="HP108" s="1"/>
      <c r="HQ108" s="1"/>
      <c r="HR108" s="1"/>
      <c r="HS108" s="1"/>
      <c r="HT108" s="1"/>
      <c r="HU108" s="1"/>
      <c r="HV108" s="1"/>
      <c r="HW108" s="1"/>
      <c r="HX108" s="1"/>
      <c r="HY108" s="1"/>
      <c r="HZ108" s="1"/>
      <c r="IA108" s="1"/>
      <c r="IB108" s="1"/>
      <c r="IC108" s="1"/>
      <c r="ID108" s="1"/>
      <c r="IE108" s="1"/>
      <c r="IF108" s="1"/>
      <c r="IG108" s="1"/>
      <c r="IH108" s="1"/>
      <c r="II108" s="1"/>
      <c r="IJ108" s="1"/>
      <c r="IK108" s="1"/>
      <c r="IL108" s="1"/>
      <c r="IM108" s="1"/>
      <c r="IN108" s="1"/>
      <c r="IO108" s="1"/>
      <c r="IP108" s="1"/>
      <c r="IQ108" s="1"/>
      <c r="IR108" s="1"/>
      <c r="IS108" s="1"/>
      <c r="IT108" s="1"/>
      <c r="IU108" s="1"/>
      <c r="IV108" s="1"/>
      <c r="IW108" s="1"/>
      <c r="IX108" s="1"/>
      <c r="IY108" s="1"/>
      <c r="IZ108" s="1"/>
      <c r="JA108" s="1"/>
      <c r="JB108" s="1"/>
      <c r="JC108" s="1"/>
      <c r="JD108" s="1"/>
      <c r="JE108" s="1"/>
      <c r="JF108" s="1"/>
      <c r="JG108" s="1"/>
      <c r="JH108" s="1"/>
      <c r="JI108" s="1"/>
      <c r="JJ108" s="1"/>
      <c r="JK108" s="1"/>
      <c r="JL108" s="1"/>
      <c r="JM108" s="1"/>
      <c r="JN108" s="1"/>
      <c r="JO108" s="1"/>
      <c r="JP108" s="1"/>
      <c r="JQ108" s="1"/>
      <c r="JR108" s="1"/>
      <c r="JS108" s="1"/>
      <c r="JT108" s="1"/>
      <c r="JU108" s="1"/>
      <c r="JV108" s="1"/>
      <c r="JW108" s="1"/>
      <c r="JX108" s="1"/>
      <c r="JY108" s="1"/>
      <c r="JZ108" s="1"/>
      <c r="KA108" s="1"/>
      <c r="KB108" s="1"/>
      <c r="KC108" s="1"/>
      <c r="KD108" s="1"/>
      <c r="KE108" s="1"/>
      <c r="KF108" s="1"/>
      <c r="KG108" s="1"/>
      <c r="KH108" s="1"/>
      <c r="KI108" s="1"/>
      <c r="KJ108" s="1"/>
      <c r="KK108" s="1"/>
      <c r="KL108" s="1"/>
      <c r="KM108" s="1"/>
      <c r="KN108" s="1"/>
      <c r="KO108" s="1"/>
      <c r="KP108" s="1"/>
      <c r="KQ108" s="1"/>
    </row>
    <row r="109" spans="1:303" s="3" customFormat="1" ht="171" x14ac:dyDescent="0.25">
      <c r="A109" s="356" t="s">
        <v>79</v>
      </c>
      <c r="B109" s="356" t="s">
        <v>80</v>
      </c>
      <c r="C109" s="356" t="s">
        <v>81</v>
      </c>
      <c r="D109" s="356" t="s">
        <v>82</v>
      </c>
      <c r="E109" s="356" t="s">
        <v>83</v>
      </c>
      <c r="F109" s="356" t="s">
        <v>84</v>
      </c>
      <c r="G109" s="356" t="s">
        <v>85</v>
      </c>
      <c r="H109" s="356" t="s">
        <v>86</v>
      </c>
      <c r="I109" s="356" t="s">
        <v>87</v>
      </c>
      <c r="J109" s="356" t="s">
        <v>152</v>
      </c>
      <c r="K109" s="382" t="s">
        <v>753</v>
      </c>
      <c r="L109" s="382" t="s">
        <v>652</v>
      </c>
      <c r="M109" s="357" t="s">
        <v>181</v>
      </c>
      <c r="N109" s="367" t="s">
        <v>91</v>
      </c>
      <c r="O109" s="367" t="s">
        <v>154</v>
      </c>
      <c r="P109" s="930">
        <v>39542136.277533107</v>
      </c>
      <c r="Q109" s="382" t="s">
        <v>654</v>
      </c>
      <c r="R109" s="382" t="s">
        <v>860</v>
      </c>
      <c r="S109" s="371">
        <v>1</v>
      </c>
      <c r="T109" s="369" t="s">
        <v>182</v>
      </c>
      <c r="U109" s="357" t="s">
        <v>183</v>
      </c>
      <c r="V109" s="357" t="s">
        <v>98</v>
      </c>
      <c r="W109" s="497"/>
      <c r="X109" s="432">
        <v>0</v>
      </c>
      <c r="Y109" s="432">
        <v>0.5</v>
      </c>
      <c r="Z109" s="432">
        <v>0</v>
      </c>
      <c r="AA109" s="444">
        <v>0.5</v>
      </c>
      <c r="AB109" s="525">
        <v>6.25</v>
      </c>
      <c r="AC109" s="413">
        <v>1.3333333333333333</v>
      </c>
      <c r="AD109" s="413">
        <v>0.35277775</v>
      </c>
      <c r="AE109" s="413">
        <v>0.37727272727272726</v>
      </c>
      <c r="AF109" s="692">
        <f t="shared" si="57"/>
        <v>0</v>
      </c>
      <c r="AG109" s="693" t="s">
        <v>146</v>
      </c>
      <c r="AH109" s="707">
        <v>0</v>
      </c>
      <c r="AI109" s="695"/>
      <c r="AJ109" s="697" t="s">
        <v>758</v>
      </c>
      <c r="AK109" s="693"/>
      <c r="AL109" s="692">
        <f t="shared" si="77"/>
        <v>0</v>
      </c>
      <c r="AM109" s="697" t="s">
        <v>121</v>
      </c>
      <c r="AN109" s="693">
        <f t="shared" si="78"/>
        <v>0</v>
      </c>
      <c r="AO109" s="693">
        <f t="shared" si="79"/>
        <v>0</v>
      </c>
      <c r="AP109" s="693">
        <f t="shared" si="80"/>
        <v>0</v>
      </c>
      <c r="AQ109" s="696"/>
      <c r="AR109" s="401">
        <f t="shared" si="58"/>
        <v>0.5</v>
      </c>
      <c r="AS109" s="402" t="s">
        <v>100</v>
      </c>
      <c r="AT109" s="405">
        <v>0</v>
      </c>
      <c r="AU109" s="626" t="s">
        <v>861</v>
      </c>
      <c r="AV109" s="626" t="s">
        <v>760</v>
      </c>
      <c r="AW109" s="729" t="str">
        <f t="shared" si="81"/>
        <v>BAJO</v>
      </c>
      <c r="AX109" s="397">
        <f t="shared" si="82"/>
        <v>0</v>
      </c>
      <c r="AY109" s="399" t="s">
        <v>862</v>
      </c>
      <c r="AZ109" s="398">
        <f t="shared" si="83"/>
        <v>0</v>
      </c>
      <c r="BA109" s="398">
        <f t="shared" si="84"/>
        <v>0</v>
      </c>
      <c r="BB109" s="398">
        <f t="shared" si="85"/>
        <v>0</v>
      </c>
      <c r="BC109" s="18"/>
      <c r="BD109" s="14">
        <f t="shared" si="86"/>
        <v>0</v>
      </c>
      <c r="BE109" s="759" t="s">
        <v>100</v>
      </c>
      <c r="BF109" s="679">
        <v>0</v>
      </c>
      <c r="BG109" s="647" t="s">
        <v>863</v>
      </c>
      <c r="BH109" s="647" t="s">
        <v>864</v>
      </c>
      <c r="BI109" s="658" t="str">
        <f t="shared" si="63"/>
        <v>BAJO</v>
      </c>
      <c r="BJ109" s="681">
        <f t="shared" si="87"/>
        <v>0</v>
      </c>
      <c r="BK109" s="754" t="s">
        <v>865</v>
      </c>
      <c r="BL109" s="682">
        <f t="shared" si="64"/>
        <v>0</v>
      </c>
      <c r="BM109" s="682">
        <f t="shared" si="65"/>
        <v>0</v>
      </c>
      <c r="BN109" s="682">
        <f t="shared" si="66"/>
        <v>0</v>
      </c>
      <c r="BO109" s="754"/>
      <c r="BP109" s="853">
        <f t="shared" si="76"/>
        <v>0.5</v>
      </c>
      <c r="BQ109" s="854" t="s">
        <v>105</v>
      </c>
      <c r="BR109" s="881">
        <v>1</v>
      </c>
      <c r="BS109" s="882" t="s">
        <v>866</v>
      </c>
      <c r="BT109" s="882" t="s">
        <v>867</v>
      </c>
      <c r="BU109" s="905" t="str">
        <f t="shared" si="88"/>
        <v>ALTO</v>
      </c>
      <c r="BV109" s="875">
        <f t="shared" si="89"/>
        <v>0.5</v>
      </c>
      <c r="BW109" s="859" t="s">
        <v>868</v>
      </c>
      <c r="BX109" s="857">
        <f t="shared" si="67"/>
        <v>3.125</v>
      </c>
      <c r="BY109" s="857">
        <f t="shared" si="68"/>
        <v>0.66666666666666663</v>
      </c>
      <c r="BZ109" s="857">
        <f t="shared" si="69"/>
        <v>0.176388875</v>
      </c>
      <c r="CA109" s="857">
        <f t="shared" si="70"/>
        <v>0.18863636363636363</v>
      </c>
      <c r="CB109" s="16">
        <f t="shared" si="71"/>
        <v>0.5</v>
      </c>
      <c r="CC109" s="16">
        <f t="shared" si="72"/>
        <v>0.5</v>
      </c>
      <c r="CD109" s="16">
        <f t="shared" si="74"/>
        <v>1</v>
      </c>
      <c r="CE109" s="16">
        <f t="shared" si="75"/>
        <v>0.5</v>
      </c>
      <c r="CF109" s="16" t="e">
        <f>SUM(#REF!/(CC109+CB109))</f>
        <v>#REF!</v>
      </c>
      <c r="CG109" s="19"/>
      <c r="CH109" s="19"/>
      <c r="CI109" s="19"/>
      <c r="CJ109" s="19"/>
      <c r="CK109" s="3" t="s">
        <v>165</v>
      </c>
      <c r="CV109" s="346">
        <f t="shared" si="73"/>
        <v>1</v>
      </c>
    </row>
    <row r="110" spans="1:303" s="5" customFormat="1" ht="228" x14ac:dyDescent="0.25">
      <c r="A110" s="356" t="s">
        <v>79</v>
      </c>
      <c r="B110" s="356" t="s">
        <v>80</v>
      </c>
      <c r="C110" s="356" t="s">
        <v>81</v>
      </c>
      <c r="D110" s="356" t="s">
        <v>82</v>
      </c>
      <c r="E110" s="356" t="s">
        <v>83</v>
      </c>
      <c r="F110" s="356" t="s">
        <v>84</v>
      </c>
      <c r="G110" s="356" t="s">
        <v>85</v>
      </c>
      <c r="H110" s="356" t="s">
        <v>86</v>
      </c>
      <c r="I110" s="356" t="s">
        <v>87</v>
      </c>
      <c r="J110" s="356" t="s">
        <v>152</v>
      </c>
      <c r="K110" s="382" t="s">
        <v>753</v>
      </c>
      <c r="L110" s="382" t="s">
        <v>652</v>
      </c>
      <c r="M110" s="357" t="s">
        <v>633</v>
      </c>
      <c r="N110" s="367" t="s">
        <v>91</v>
      </c>
      <c r="O110" s="367" t="s">
        <v>154</v>
      </c>
      <c r="P110" s="930">
        <v>39542136.277533107</v>
      </c>
      <c r="Q110" s="382" t="s">
        <v>654</v>
      </c>
      <c r="R110" s="382" t="s">
        <v>156</v>
      </c>
      <c r="S110" s="378">
        <v>1</v>
      </c>
      <c r="T110" s="369" t="s">
        <v>191</v>
      </c>
      <c r="U110" s="357" t="s">
        <v>158</v>
      </c>
      <c r="V110" s="357" t="s">
        <v>98</v>
      </c>
      <c r="W110" s="497" t="s">
        <v>634</v>
      </c>
      <c r="X110" s="432">
        <v>0</v>
      </c>
      <c r="Y110" s="432">
        <v>0</v>
      </c>
      <c r="Z110" s="432">
        <v>0.34</v>
      </c>
      <c r="AA110" s="444">
        <v>0.66</v>
      </c>
      <c r="AB110" s="525">
        <v>6.25</v>
      </c>
      <c r="AC110" s="413">
        <v>1.3333333333333333</v>
      </c>
      <c r="AD110" s="413">
        <v>0.35277775</v>
      </c>
      <c r="AE110" s="413">
        <v>0.37727272727272726</v>
      </c>
      <c r="AF110" s="692">
        <f t="shared" si="57"/>
        <v>0</v>
      </c>
      <c r="AG110" s="693" t="s">
        <v>146</v>
      </c>
      <c r="AH110" s="707">
        <v>0</v>
      </c>
      <c r="AI110" s="695"/>
      <c r="AJ110" s="697" t="s">
        <v>869</v>
      </c>
      <c r="AK110" s="693"/>
      <c r="AL110" s="692">
        <f t="shared" si="77"/>
        <v>0</v>
      </c>
      <c r="AM110" s="697" t="s">
        <v>121</v>
      </c>
      <c r="AN110" s="693">
        <f t="shared" si="78"/>
        <v>0</v>
      </c>
      <c r="AO110" s="693">
        <f t="shared" si="79"/>
        <v>0</v>
      </c>
      <c r="AP110" s="693">
        <f t="shared" si="80"/>
        <v>0</v>
      </c>
      <c r="AQ110" s="693"/>
      <c r="AR110" s="401">
        <f t="shared" si="58"/>
        <v>0</v>
      </c>
      <c r="AS110" s="402" t="s">
        <v>146</v>
      </c>
      <c r="AT110" s="405">
        <v>0</v>
      </c>
      <c r="AU110" s="626"/>
      <c r="AV110" s="626" t="s">
        <v>869</v>
      </c>
      <c r="AW110" s="729"/>
      <c r="AX110" s="397">
        <f t="shared" si="82"/>
        <v>0</v>
      </c>
      <c r="AY110" s="399" t="s">
        <v>121</v>
      </c>
      <c r="AZ110" s="398">
        <f t="shared" si="83"/>
        <v>0</v>
      </c>
      <c r="BA110" s="398">
        <f t="shared" si="84"/>
        <v>0</v>
      </c>
      <c r="BB110" s="398">
        <f t="shared" si="85"/>
        <v>0</v>
      </c>
      <c r="BC110" s="15"/>
      <c r="BD110" s="14">
        <f t="shared" si="86"/>
        <v>0.34</v>
      </c>
      <c r="BE110" s="677" t="s">
        <v>481</v>
      </c>
      <c r="BF110" s="681">
        <v>1</v>
      </c>
      <c r="BG110" s="648" t="s">
        <v>869</v>
      </c>
      <c r="BH110" s="648" t="s">
        <v>869</v>
      </c>
      <c r="BI110" s="658" t="str">
        <f t="shared" si="63"/>
        <v>ALTO</v>
      </c>
      <c r="BJ110" s="681">
        <f t="shared" si="87"/>
        <v>0.34</v>
      </c>
      <c r="BK110" s="658" t="s">
        <v>149</v>
      </c>
      <c r="BL110" s="682">
        <f t="shared" si="64"/>
        <v>5.4400000000000004E-2</v>
      </c>
      <c r="BM110" s="682">
        <f t="shared" si="65"/>
        <v>0.25500000000000006</v>
      </c>
      <c r="BN110" s="682">
        <f t="shared" si="66"/>
        <v>0.96377960344721292</v>
      </c>
      <c r="BO110" s="658"/>
      <c r="BP110" s="853">
        <f t="shared" si="76"/>
        <v>0.66</v>
      </c>
      <c r="BQ110" s="854" t="s">
        <v>105</v>
      </c>
      <c r="BR110" s="883">
        <v>1</v>
      </c>
      <c r="BS110" s="884"/>
      <c r="BT110" s="884"/>
      <c r="BU110" s="905" t="str">
        <f t="shared" si="88"/>
        <v>ALTO</v>
      </c>
      <c r="BV110" s="875">
        <f t="shared" si="89"/>
        <v>0.66</v>
      </c>
      <c r="BW110" s="862" t="s">
        <v>870</v>
      </c>
      <c r="BX110" s="857">
        <f t="shared" si="67"/>
        <v>4.125</v>
      </c>
      <c r="BY110" s="857">
        <f t="shared" si="68"/>
        <v>0.88</v>
      </c>
      <c r="BZ110" s="857">
        <f t="shared" si="69"/>
        <v>0.23283331500000001</v>
      </c>
      <c r="CA110" s="857">
        <f t="shared" si="70"/>
        <v>0.249</v>
      </c>
      <c r="CB110" s="16">
        <f t="shared" si="71"/>
        <v>1</v>
      </c>
      <c r="CC110" s="16">
        <f t="shared" si="72"/>
        <v>0</v>
      </c>
      <c r="CD110" s="16">
        <f t="shared" si="74"/>
        <v>1</v>
      </c>
      <c r="CE110" s="16">
        <f t="shared" si="75"/>
        <v>1</v>
      </c>
      <c r="CF110" s="16" t="e">
        <f>SUM(#REF!/(CC110+CB110))</f>
        <v>#REF!</v>
      </c>
      <c r="CG110" s="17"/>
      <c r="CH110" s="17"/>
      <c r="CI110" s="17"/>
      <c r="CJ110" s="17"/>
      <c r="CK110" s="3" t="s">
        <v>165</v>
      </c>
      <c r="CL110" s="1"/>
      <c r="CM110" s="1"/>
      <c r="CN110" s="1"/>
      <c r="CO110" s="1"/>
      <c r="CP110" s="1"/>
      <c r="CQ110" s="1"/>
      <c r="CR110" s="1"/>
      <c r="CS110" s="1"/>
      <c r="CT110" s="1"/>
      <c r="CU110" s="1"/>
      <c r="CV110" s="346">
        <f t="shared" si="73"/>
        <v>1</v>
      </c>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c r="GF110" s="1"/>
      <c r="GG110" s="1"/>
      <c r="GH110" s="1"/>
      <c r="GI110" s="1"/>
      <c r="GJ110" s="1"/>
      <c r="GK110" s="1"/>
      <c r="GL110" s="1"/>
      <c r="GM110" s="1"/>
      <c r="GN110" s="1"/>
      <c r="GO110" s="1"/>
      <c r="GP110" s="1"/>
      <c r="GQ110" s="1"/>
      <c r="GR110" s="1"/>
      <c r="GS110" s="1"/>
      <c r="GT110" s="1"/>
      <c r="GU110" s="1"/>
      <c r="GV110" s="1"/>
      <c r="GW110" s="1"/>
      <c r="GX110" s="1"/>
      <c r="GY110" s="1"/>
      <c r="GZ110" s="1"/>
      <c r="HA110" s="1"/>
      <c r="HB110" s="1"/>
      <c r="HC110" s="1"/>
      <c r="HD110" s="1"/>
      <c r="HE110" s="1"/>
      <c r="HF110" s="1"/>
      <c r="HG110" s="1"/>
      <c r="HH110" s="1"/>
      <c r="HI110" s="1"/>
      <c r="HJ110" s="1"/>
      <c r="HK110" s="1"/>
      <c r="HL110" s="1"/>
      <c r="HM110" s="1"/>
      <c r="HN110" s="1"/>
      <c r="HO110" s="1"/>
      <c r="HP110" s="1"/>
      <c r="HQ110" s="1"/>
      <c r="HR110" s="1"/>
      <c r="HS110" s="1"/>
      <c r="HT110" s="1"/>
      <c r="HU110" s="1"/>
      <c r="HV110" s="1"/>
      <c r="HW110" s="1"/>
      <c r="HX110" s="1"/>
      <c r="HY110" s="1"/>
      <c r="HZ110" s="1"/>
      <c r="IA110" s="1"/>
      <c r="IB110" s="1"/>
      <c r="IC110" s="1"/>
      <c r="ID110" s="1"/>
      <c r="IE110" s="1"/>
      <c r="IF110" s="1"/>
      <c r="IG110" s="1"/>
      <c r="IH110" s="1"/>
      <c r="II110" s="1"/>
      <c r="IJ110" s="1"/>
      <c r="IK110" s="1"/>
      <c r="IL110" s="1"/>
      <c r="IM110" s="1"/>
      <c r="IN110" s="1"/>
      <c r="IO110" s="1"/>
      <c r="IP110" s="1"/>
      <c r="IQ110" s="1"/>
      <c r="IR110" s="1"/>
      <c r="IS110" s="1"/>
      <c r="IT110" s="1"/>
      <c r="IU110" s="1"/>
      <c r="IV110" s="1"/>
      <c r="IW110" s="1"/>
      <c r="IX110" s="1"/>
      <c r="IY110" s="1"/>
      <c r="IZ110" s="1"/>
      <c r="JA110" s="1"/>
      <c r="JB110" s="1"/>
      <c r="JC110" s="1"/>
      <c r="JD110" s="1"/>
      <c r="JE110" s="1"/>
      <c r="JF110" s="1"/>
      <c r="JG110" s="1"/>
      <c r="JH110" s="1"/>
      <c r="JI110" s="1"/>
      <c r="JJ110" s="1"/>
      <c r="JK110" s="1"/>
      <c r="JL110" s="1"/>
      <c r="JM110" s="1"/>
      <c r="JN110" s="1"/>
      <c r="JO110" s="1"/>
      <c r="JP110" s="1"/>
      <c r="JQ110" s="1"/>
      <c r="JR110" s="1"/>
      <c r="JS110" s="1"/>
      <c r="JT110" s="1"/>
      <c r="JU110" s="1"/>
      <c r="JV110" s="1"/>
      <c r="JW110" s="1"/>
      <c r="JX110" s="1"/>
      <c r="JY110" s="1"/>
      <c r="JZ110" s="1"/>
      <c r="KA110" s="1"/>
      <c r="KB110" s="1"/>
      <c r="KC110" s="1"/>
      <c r="KD110" s="1"/>
      <c r="KE110" s="1"/>
      <c r="KF110" s="1"/>
      <c r="KG110" s="1"/>
      <c r="KH110" s="1"/>
      <c r="KI110" s="1"/>
      <c r="KJ110" s="1"/>
      <c r="KK110" s="1"/>
      <c r="KL110" s="1"/>
      <c r="KM110" s="1"/>
      <c r="KN110" s="1"/>
      <c r="KO110" s="1"/>
      <c r="KP110" s="1"/>
      <c r="KQ110" s="1"/>
    </row>
    <row r="111" spans="1:303" s="5" customFormat="1" ht="171" x14ac:dyDescent="0.25">
      <c r="A111" s="356" t="s">
        <v>79</v>
      </c>
      <c r="B111" s="356" t="s">
        <v>80</v>
      </c>
      <c r="C111" s="356" t="s">
        <v>81</v>
      </c>
      <c r="D111" s="356" t="s">
        <v>82</v>
      </c>
      <c r="E111" s="356" t="s">
        <v>83</v>
      </c>
      <c r="F111" s="356" t="s">
        <v>84</v>
      </c>
      <c r="G111" s="356" t="s">
        <v>85</v>
      </c>
      <c r="H111" s="356" t="s">
        <v>86</v>
      </c>
      <c r="I111" s="356" t="s">
        <v>87</v>
      </c>
      <c r="J111" s="356" t="s">
        <v>152</v>
      </c>
      <c r="K111" s="382" t="s">
        <v>753</v>
      </c>
      <c r="L111" s="382" t="s">
        <v>652</v>
      </c>
      <c r="M111" s="357" t="s">
        <v>195</v>
      </c>
      <c r="N111" s="367" t="s">
        <v>91</v>
      </c>
      <c r="O111" s="367" t="s">
        <v>154</v>
      </c>
      <c r="P111" s="930">
        <v>39542136.277533107</v>
      </c>
      <c r="Q111" s="382" t="s">
        <v>654</v>
      </c>
      <c r="R111" s="382" t="s">
        <v>156</v>
      </c>
      <c r="S111" s="357">
        <v>7</v>
      </c>
      <c r="T111" s="369" t="s">
        <v>196</v>
      </c>
      <c r="U111" s="357" t="s">
        <v>158</v>
      </c>
      <c r="V111" s="370" t="s">
        <v>98</v>
      </c>
      <c r="W111" s="497" t="s">
        <v>197</v>
      </c>
      <c r="X111" s="432">
        <v>0</v>
      </c>
      <c r="Y111" s="432">
        <f>1/7</f>
        <v>0.14285714285714285</v>
      </c>
      <c r="Z111" s="432">
        <f>3/7</f>
        <v>0.42857142857142855</v>
      </c>
      <c r="AA111" s="444">
        <f>3/7</f>
        <v>0.42857142857142855</v>
      </c>
      <c r="AB111" s="525">
        <v>6.25</v>
      </c>
      <c r="AC111" s="413">
        <v>1.3333333333333333</v>
      </c>
      <c r="AD111" s="413">
        <v>0.35277775</v>
      </c>
      <c r="AE111" s="413">
        <v>0.37727272727272726</v>
      </c>
      <c r="AF111" s="692">
        <f t="shared" si="57"/>
        <v>0</v>
      </c>
      <c r="AG111" s="693" t="s">
        <v>146</v>
      </c>
      <c r="AH111" s="707">
        <v>0</v>
      </c>
      <c r="AI111" s="695"/>
      <c r="AJ111" s="697" t="s">
        <v>758</v>
      </c>
      <c r="AK111" s="693"/>
      <c r="AL111" s="692">
        <f t="shared" si="77"/>
        <v>0</v>
      </c>
      <c r="AM111" s="697" t="s">
        <v>121</v>
      </c>
      <c r="AN111" s="693">
        <f t="shared" si="78"/>
        <v>0</v>
      </c>
      <c r="AO111" s="693">
        <f t="shared" si="79"/>
        <v>0</v>
      </c>
      <c r="AP111" s="693">
        <f t="shared" si="80"/>
        <v>0</v>
      </c>
      <c r="AQ111" s="693"/>
      <c r="AR111" s="401">
        <f t="shared" si="58"/>
        <v>0.14285714285714285</v>
      </c>
      <c r="AS111" s="402" t="s">
        <v>100</v>
      </c>
      <c r="AT111" s="626">
        <f>1/1</f>
        <v>1</v>
      </c>
      <c r="AU111" s="626" t="s">
        <v>871</v>
      </c>
      <c r="AV111" s="626" t="s">
        <v>760</v>
      </c>
      <c r="AW111" s="729" t="str">
        <f t="shared" si="81"/>
        <v>ALTO</v>
      </c>
      <c r="AX111" s="397">
        <f t="shared" si="82"/>
        <v>0.14285714285714285</v>
      </c>
      <c r="AY111" s="399" t="s">
        <v>102</v>
      </c>
      <c r="AZ111" s="398">
        <f t="shared" si="83"/>
        <v>0.89285714285714279</v>
      </c>
      <c r="BA111" s="398">
        <f t="shared" si="84"/>
        <v>0.19047619047619047</v>
      </c>
      <c r="BB111" s="398">
        <f t="shared" si="85"/>
        <v>5.0396821428571423E-2</v>
      </c>
      <c r="BC111" s="15"/>
      <c r="BD111" s="14">
        <f t="shared" si="86"/>
        <v>0.42857142857142855</v>
      </c>
      <c r="BE111" s="759" t="s">
        <v>100</v>
      </c>
      <c r="BF111" s="679">
        <f>3/3</f>
        <v>1</v>
      </c>
      <c r="BG111" s="647" t="s">
        <v>872</v>
      </c>
      <c r="BH111" s="647" t="s">
        <v>763</v>
      </c>
      <c r="BI111" s="658" t="str">
        <f t="shared" si="63"/>
        <v>ALTO</v>
      </c>
      <c r="BJ111" s="681">
        <f t="shared" si="87"/>
        <v>0.42857142857142855</v>
      </c>
      <c r="BK111" s="647" t="s">
        <v>873</v>
      </c>
      <c r="BL111" s="682">
        <f t="shared" si="64"/>
        <v>6.8571428571428561E-2</v>
      </c>
      <c r="BM111" s="682">
        <f t="shared" si="65"/>
        <v>0.32142857142857145</v>
      </c>
      <c r="BN111" s="682">
        <f t="shared" si="66"/>
        <v>1.2148482396393439</v>
      </c>
      <c r="BO111" s="658"/>
      <c r="BP111" s="853">
        <f t="shared" si="76"/>
        <v>0.42857142857142855</v>
      </c>
      <c r="BQ111" s="854" t="s">
        <v>105</v>
      </c>
      <c r="BR111" s="883">
        <v>1</v>
      </c>
      <c r="BS111" s="884"/>
      <c r="BT111" s="884"/>
      <c r="BU111" s="905" t="str">
        <f t="shared" si="88"/>
        <v>ALTO</v>
      </c>
      <c r="BV111" s="875">
        <f t="shared" si="89"/>
        <v>0.42857142857142855</v>
      </c>
      <c r="BW111" s="862" t="s">
        <v>645</v>
      </c>
      <c r="BX111" s="857">
        <f t="shared" si="67"/>
        <v>2.6785714285714284</v>
      </c>
      <c r="BY111" s="857">
        <f t="shared" si="68"/>
        <v>0.5714285714285714</v>
      </c>
      <c r="BZ111" s="857">
        <f t="shared" si="69"/>
        <v>0.15119046428571428</v>
      </c>
      <c r="CA111" s="857">
        <f t="shared" si="70"/>
        <v>0.16168831168831169</v>
      </c>
      <c r="CB111" s="16">
        <f t="shared" si="71"/>
        <v>0.8571428571428571</v>
      </c>
      <c r="CC111" s="16">
        <f t="shared" si="72"/>
        <v>0.14285714285714285</v>
      </c>
      <c r="CD111" s="16">
        <f t="shared" si="74"/>
        <v>1</v>
      </c>
      <c r="CE111" s="16">
        <f t="shared" si="75"/>
        <v>1</v>
      </c>
      <c r="CF111" s="16" t="e">
        <f>SUM(#REF!/(CC111+CB111))</f>
        <v>#REF!</v>
      </c>
      <c r="CG111" s="17"/>
      <c r="CH111" s="17"/>
      <c r="CI111" s="17"/>
      <c r="CJ111" s="17"/>
      <c r="CK111" s="3" t="s">
        <v>165</v>
      </c>
      <c r="CL111" s="1"/>
      <c r="CM111" s="1"/>
      <c r="CN111" s="1"/>
      <c r="CO111" s="1"/>
      <c r="CP111" s="1"/>
      <c r="CQ111" s="1"/>
      <c r="CR111" s="1"/>
      <c r="CS111" s="1"/>
      <c r="CT111" s="1"/>
      <c r="CU111" s="1"/>
      <c r="CV111" s="346">
        <f t="shared" si="73"/>
        <v>1</v>
      </c>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c r="GF111" s="1"/>
      <c r="GG111" s="1"/>
      <c r="GH111" s="1"/>
      <c r="GI111" s="1"/>
      <c r="GJ111" s="1"/>
      <c r="GK111" s="1"/>
      <c r="GL111" s="1"/>
      <c r="GM111" s="1"/>
      <c r="GN111" s="1"/>
      <c r="GO111" s="1"/>
      <c r="GP111" s="1"/>
      <c r="GQ111" s="1"/>
      <c r="GR111" s="1"/>
      <c r="GS111" s="1"/>
      <c r="GT111" s="1"/>
      <c r="GU111" s="1"/>
      <c r="GV111" s="1"/>
      <c r="GW111" s="1"/>
      <c r="GX111" s="1"/>
      <c r="GY111" s="1"/>
      <c r="GZ111" s="1"/>
      <c r="HA111" s="1"/>
      <c r="HB111" s="1"/>
      <c r="HC111" s="1"/>
      <c r="HD111" s="1"/>
      <c r="HE111" s="1"/>
      <c r="HF111" s="1"/>
      <c r="HG111" s="1"/>
      <c r="HH111" s="1"/>
      <c r="HI111" s="1"/>
      <c r="HJ111" s="1"/>
      <c r="HK111" s="1"/>
      <c r="HL111" s="1"/>
      <c r="HM111" s="1"/>
      <c r="HN111" s="1"/>
      <c r="HO111" s="1"/>
      <c r="HP111" s="1"/>
      <c r="HQ111" s="1"/>
      <c r="HR111" s="1"/>
      <c r="HS111" s="1"/>
      <c r="HT111" s="1"/>
      <c r="HU111" s="1"/>
      <c r="HV111" s="1"/>
      <c r="HW111" s="1"/>
      <c r="HX111" s="1"/>
      <c r="HY111" s="1"/>
      <c r="HZ111" s="1"/>
      <c r="IA111" s="1"/>
      <c r="IB111" s="1"/>
      <c r="IC111" s="1"/>
      <c r="ID111" s="1"/>
      <c r="IE111" s="1"/>
      <c r="IF111" s="1"/>
      <c r="IG111" s="1"/>
      <c r="IH111" s="1"/>
      <c r="II111" s="1"/>
      <c r="IJ111" s="1"/>
      <c r="IK111" s="1"/>
      <c r="IL111" s="1"/>
      <c r="IM111" s="1"/>
      <c r="IN111" s="1"/>
      <c r="IO111" s="1"/>
      <c r="IP111" s="1"/>
      <c r="IQ111" s="1"/>
      <c r="IR111" s="1"/>
      <c r="IS111" s="1"/>
      <c r="IT111" s="1"/>
      <c r="IU111" s="1"/>
      <c r="IV111" s="1"/>
      <c r="IW111" s="1"/>
      <c r="IX111" s="1"/>
      <c r="IY111" s="1"/>
      <c r="IZ111" s="1"/>
      <c r="JA111" s="1"/>
      <c r="JB111" s="1"/>
      <c r="JC111" s="1"/>
      <c r="JD111" s="1"/>
      <c r="JE111" s="1"/>
      <c r="JF111" s="1"/>
      <c r="JG111" s="1"/>
      <c r="JH111" s="1"/>
      <c r="JI111" s="1"/>
      <c r="JJ111" s="1"/>
      <c r="JK111" s="1"/>
      <c r="JL111" s="1"/>
      <c r="JM111" s="1"/>
      <c r="JN111" s="1"/>
      <c r="JO111" s="1"/>
      <c r="JP111" s="1"/>
      <c r="JQ111" s="1"/>
      <c r="JR111" s="1"/>
      <c r="JS111" s="1"/>
      <c r="JT111" s="1"/>
      <c r="JU111" s="1"/>
      <c r="JV111" s="1"/>
      <c r="JW111" s="1"/>
      <c r="JX111" s="1"/>
      <c r="JY111" s="1"/>
      <c r="JZ111" s="1"/>
      <c r="KA111" s="1"/>
      <c r="KB111" s="1"/>
      <c r="KC111" s="1"/>
      <c r="KD111" s="1"/>
      <c r="KE111" s="1"/>
      <c r="KF111" s="1"/>
      <c r="KG111" s="1"/>
      <c r="KH111" s="1"/>
      <c r="KI111" s="1"/>
      <c r="KJ111" s="1"/>
      <c r="KK111" s="1"/>
      <c r="KL111" s="1"/>
      <c r="KM111" s="1"/>
      <c r="KN111" s="1"/>
      <c r="KO111" s="1"/>
      <c r="KP111" s="1"/>
      <c r="KQ111" s="1"/>
    </row>
    <row r="112" spans="1:303" s="5" customFormat="1" ht="171" x14ac:dyDescent="0.25">
      <c r="A112" s="356" t="s">
        <v>79</v>
      </c>
      <c r="B112" s="356" t="s">
        <v>80</v>
      </c>
      <c r="C112" s="356" t="s">
        <v>81</v>
      </c>
      <c r="D112" s="356" t="s">
        <v>82</v>
      </c>
      <c r="E112" s="356" t="s">
        <v>83</v>
      </c>
      <c r="F112" s="356" t="s">
        <v>84</v>
      </c>
      <c r="G112" s="356" t="s">
        <v>85</v>
      </c>
      <c r="H112" s="356" t="s">
        <v>86</v>
      </c>
      <c r="I112" s="356" t="s">
        <v>87</v>
      </c>
      <c r="J112" s="356" t="s">
        <v>152</v>
      </c>
      <c r="K112" s="382" t="s">
        <v>753</v>
      </c>
      <c r="L112" s="382" t="s">
        <v>652</v>
      </c>
      <c r="M112" s="357" t="s">
        <v>201</v>
      </c>
      <c r="N112" s="367" t="s">
        <v>91</v>
      </c>
      <c r="O112" s="367" t="s">
        <v>202</v>
      </c>
      <c r="P112" s="930">
        <v>39542136.277533107</v>
      </c>
      <c r="Q112" s="382" t="s">
        <v>654</v>
      </c>
      <c r="R112" s="382" t="s">
        <v>156</v>
      </c>
      <c r="S112" s="378">
        <v>1</v>
      </c>
      <c r="T112" s="369" t="s">
        <v>203</v>
      </c>
      <c r="U112" s="357" t="s">
        <v>204</v>
      </c>
      <c r="V112" s="357" t="s">
        <v>98</v>
      </c>
      <c r="W112" s="497" t="s">
        <v>205</v>
      </c>
      <c r="X112" s="432">
        <v>0</v>
      </c>
      <c r="Y112" s="432">
        <v>0</v>
      </c>
      <c r="Z112" s="432">
        <v>0</v>
      </c>
      <c r="AA112" s="444">
        <v>1</v>
      </c>
      <c r="AB112" s="525">
        <v>6.25</v>
      </c>
      <c r="AC112" s="413">
        <v>1.3333333333333333</v>
      </c>
      <c r="AD112" s="413">
        <v>0.35277775</v>
      </c>
      <c r="AE112" s="413">
        <v>0.37727272727272726</v>
      </c>
      <c r="AF112" s="692">
        <f t="shared" si="57"/>
        <v>0</v>
      </c>
      <c r="AG112" s="693" t="s">
        <v>146</v>
      </c>
      <c r="AH112" s="707">
        <v>0</v>
      </c>
      <c r="AI112" s="695"/>
      <c r="AJ112" s="697" t="s">
        <v>874</v>
      </c>
      <c r="AK112" s="693"/>
      <c r="AL112" s="692">
        <f t="shared" si="77"/>
        <v>0</v>
      </c>
      <c r="AM112" s="697" t="s">
        <v>121</v>
      </c>
      <c r="AN112" s="693">
        <f t="shared" si="78"/>
        <v>0</v>
      </c>
      <c r="AO112" s="693">
        <f t="shared" si="79"/>
        <v>0</v>
      </c>
      <c r="AP112" s="693">
        <f t="shared" si="80"/>
        <v>0</v>
      </c>
      <c r="AQ112" s="693"/>
      <c r="AR112" s="401">
        <f t="shared" si="58"/>
        <v>0</v>
      </c>
      <c r="AS112" s="402" t="s">
        <v>146</v>
      </c>
      <c r="AT112" s="405">
        <v>0</v>
      </c>
      <c r="AU112" s="626"/>
      <c r="AV112" s="626" t="s">
        <v>874</v>
      </c>
      <c r="AW112" s="729"/>
      <c r="AX112" s="397">
        <f t="shared" si="82"/>
        <v>0</v>
      </c>
      <c r="AY112" s="399" t="s">
        <v>121</v>
      </c>
      <c r="AZ112" s="398">
        <f t="shared" si="83"/>
        <v>0</v>
      </c>
      <c r="BA112" s="398">
        <f t="shared" si="84"/>
        <v>0</v>
      </c>
      <c r="BB112" s="398">
        <f t="shared" si="85"/>
        <v>0</v>
      </c>
      <c r="BC112" s="15"/>
      <c r="BD112" s="14">
        <f t="shared" si="86"/>
        <v>0</v>
      </c>
      <c r="BE112" s="759" t="s">
        <v>875</v>
      </c>
      <c r="BF112" s="679"/>
      <c r="BG112" s="680" t="s">
        <v>876</v>
      </c>
      <c r="BH112" s="647" t="s">
        <v>795</v>
      </c>
      <c r="BI112" s="658" t="str">
        <f t="shared" si="63"/>
        <v>BAJO</v>
      </c>
      <c r="BJ112" s="681">
        <f t="shared" si="87"/>
        <v>0</v>
      </c>
      <c r="BK112" s="658" t="s">
        <v>149</v>
      </c>
      <c r="BL112" s="682">
        <f t="shared" si="64"/>
        <v>0</v>
      </c>
      <c r="BM112" s="682">
        <f t="shared" si="65"/>
        <v>0</v>
      </c>
      <c r="BN112" s="682">
        <f t="shared" si="66"/>
        <v>0</v>
      </c>
      <c r="BO112" s="658"/>
      <c r="BP112" s="853">
        <f t="shared" si="76"/>
        <v>1</v>
      </c>
      <c r="BQ112" s="854" t="s">
        <v>105</v>
      </c>
      <c r="BR112" s="883">
        <v>1</v>
      </c>
      <c r="BS112" s="884"/>
      <c r="BT112" s="884"/>
      <c r="BU112" s="905" t="str">
        <f t="shared" si="88"/>
        <v>ALTO</v>
      </c>
      <c r="BV112" s="875">
        <f t="shared" si="89"/>
        <v>1</v>
      </c>
      <c r="BW112" s="862" t="s">
        <v>877</v>
      </c>
      <c r="BX112" s="857">
        <f t="shared" si="67"/>
        <v>6.25</v>
      </c>
      <c r="BY112" s="857">
        <f t="shared" si="68"/>
        <v>1.3333333333333333</v>
      </c>
      <c r="BZ112" s="857">
        <f t="shared" si="69"/>
        <v>0.35277775</v>
      </c>
      <c r="CA112" s="857">
        <f t="shared" si="70"/>
        <v>0.37727272727272726</v>
      </c>
      <c r="CB112" s="16">
        <f t="shared" si="71"/>
        <v>1</v>
      </c>
      <c r="CC112" s="16">
        <f t="shared" si="72"/>
        <v>0</v>
      </c>
      <c r="CD112" s="16">
        <f t="shared" si="74"/>
        <v>1</v>
      </c>
      <c r="CE112" s="16">
        <f t="shared" si="75"/>
        <v>1</v>
      </c>
      <c r="CF112" s="16" t="e">
        <f>SUM(#REF!/(CC112+CB112))</f>
        <v>#REF!</v>
      </c>
      <c r="CG112" s="17"/>
      <c r="CH112" s="17"/>
      <c r="CI112" s="17"/>
      <c r="CJ112" s="17"/>
      <c r="CK112" s="3" t="s">
        <v>165</v>
      </c>
      <c r="CL112" s="1"/>
      <c r="CM112" s="1"/>
      <c r="CN112" s="1"/>
      <c r="CO112" s="1"/>
      <c r="CP112" s="1"/>
      <c r="CQ112" s="1"/>
      <c r="CR112" s="1"/>
      <c r="CS112" s="1"/>
      <c r="CT112" s="1"/>
      <c r="CU112" s="1"/>
      <c r="CV112" s="346">
        <f t="shared" si="73"/>
        <v>1</v>
      </c>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c r="GF112" s="1"/>
      <c r="GG112" s="1"/>
      <c r="GH112" s="1"/>
      <c r="GI112" s="1"/>
      <c r="GJ112" s="1"/>
      <c r="GK112" s="1"/>
      <c r="GL112" s="1"/>
      <c r="GM112" s="1"/>
      <c r="GN112" s="1"/>
      <c r="GO112" s="1"/>
      <c r="GP112" s="1"/>
      <c r="GQ112" s="1"/>
      <c r="GR112" s="1"/>
      <c r="GS112" s="1"/>
      <c r="GT112" s="1"/>
      <c r="GU112" s="1"/>
      <c r="GV112" s="1"/>
      <c r="GW112" s="1"/>
      <c r="GX112" s="1"/>
      <c r="GY112" s="1"/>
      <c r="GZ112" s="1"/>
      <c r="HA112" s="1"/>
      <c r="HB112" s="1"/>
      <c r="HC112" s="1"/>
      <c r="HD112" s="1"/>
      <c r="HE112" s="1"/>
      <c r="HF112" s="1"/>
      <c r="HG112" s="1"/>
      <c r="HH112" s="1"/>
      <c r="HI112" s="1"/>
      <c r="HJ112" s="1"/>
      <c r="HK112" s="1"/>
      <c r="HL112" s="1"/>
      <c r="HM112" s="1"/>
      <c r="HN112" s="1"/>
      <c r="HO112" s="1"/>
      <c r="HP112" s="1"/>
      <c r="HQ112" s="1"/>
      <c r="HR112" s="1"/>
      <c r="HS112" s="1"/>
      <c r="HT112" s="1"/>
      <c r="HU112" s="1"/>
      <c r="HV112" s="1"/>
      <c r="HW112" s="1"/>
      <c r="HX112" s="1"/>
      <c r="HY112" s="1"/>
      <c r="HZ112" s="1"/>
      <c r="IA112" s="1"/>
      <c r="IB112" s="1"/>
      <c r="IC112" s="1"/>
      <c r="ID112" s="1"/>
      <c r="IE112" s="1"/>
      <c r="IF112" s="1"/>
      <c r="IG112" s="1"/>
      <c r="IH112" s="1"/>
      <c r="II112" s="1"/>
      <c r="IJ112" s="1"/>
      <c r="IK112" s="1"/>
      <c r="IL112" s="1"/>
      <c r="IM112" s="1"/>
      <c r="IN112" s="1"/>
      <c r="IO112" s="1"/>
      <c r="IP112" s="1"/>
      <c r="IQ112" s="1"/>
      <c r="IR112" s="1"/>
      <c r="IS112" s="1"/>
      <c r="IT112" s="1"/>
      <c r="IU112" s="1"/>
      <c r="IV112" s="1"/>
      <c r="IW112" s="1"/>
      <c r="IX112" s="1"/>
      <c r="IY112" s="1"/>
      <c r="IZ112" s="1"/>
      <c r="JA112" s="1"/>
      <c r="JB112" s="1"/>
      <c r="JC112" s="1"/>
      <c r="JD112" s="1"/>
      <c r="JE112" s="1"/>
      <c r="JF112" s="1"/>
      <c r="JG112" s="1"/>
      <c r="JH112" s="1"/>
      <c r="JI112" s="1"/>
      <c r="JJ112" s="1"/>
      <c r="JK112" s="1"/>
      <c r="JL112" s="1"/>
      <c r="JM112" s="1"/>
      <c r="JN112" s="1"/>
      <c r="JO112" s="1"/>
      <c r="JP112" s="1"/>
      <c r="JQ112" s="1"/>
      <c r="JR112" s="1"/>
      <c r="JS112" s="1"/>
      <c r="JT112" s="1"/>
      <c r="JU112" s="1"/>
      <c r="JV112" s="1"/>
      <c r="JW112" s="1"/>
      <c r="JX112" s="1"/>
      <c r="JY112" s="1"/>
      <c r="JZ112" s="1"/>
      <c r="KA112" s="1"/>
      <c r="KB112" s="1"/>
      <c r="KC112" s="1"/>
      <c r="KD112" s="1"/>
      <c r="KE112" s="1"/>
      <c r="KF112" s="1"/>
      <c r="KG112" s="1"/>
      <c r="KH112" s="1"/>
      <c r="KI112" s="1"/>
      <c r="KJ112" s="1"/>
      <c r="KK112" s="1"/>
      <c r="KL112" s="1"/>
      <c r="KM112" s="1"/>
      <c r="KN112" s="1"/>
      <c r="KO112" s="1"/>
      <c r="KP112" s="1"/>
      <c r="KQ112" s="1"/>
    </row>
    <row r="113" spans="1:303" s="5" customFormat="1" ht="344.25" x14ac:dyDescent="0.2">
      <c r="A113" s="354" t="s">
        <v>79</v>
      </c>
      <c r="B113" s="354" t="s">
        <v>80</v>
      </c>
      <c r="C113" s="354" t="s">
        <v>81</v>
      </c>
      <c r="D113" s="354" t="s">
        <v>82</v>
      </c>
      <c r="E113" s="354" t="s">
        <v>83</v>
      </c>
      <c r="F113" s="354" t="s">
        <v>84</v>
      </c>
      <c r="G113" s="354" t="s">
        <v>85</v>
      </c>
      <c r="H113" s="354" t="s">
        <v>640</v>
      </c>
      <c r="I113" s="354" t="s">
        <v>681</v>
      </c>
      <c r="J113" s="354" t="s">
        <v>752</v>
      </c>
      <c r="K113" s="348" t="s">
        <v>878</v>
      </c>
      <c r="L113" s="348" t="s">
        <v>652</v>
      </c>
      <c r="M113" s="686" t="s">
        <v>879</v>
      </c>
      <c r="N113" s="361" t="s">
        <v>541</v>
      </c>
      <c r="O113" s="361" t="s">
        <v>154</v>
      </c>
      <c r="P113" s="923">
        <f>SUM(41689375000+0)</f>
        <v>41689375000</v>
      </c>
      <c r="Q113" s="364" t="s">
        <v>654</v>
      </c>
      <c r="R113" s="364" t="s">
        <v>213</v>
      </c>
      <c r="S113" s="385">
        <v>1</v>
      </c>
      <c r="T113" s="355" t="s">
        <v>880</v>
      </c>
      <c r="U113" s="355" t="s">
        <v>881</v>
      </c>
      <c r="V113" s="348" t="s">
        <v>98</v>
      </c>
      <c r="W113" s="355" t="s">
        <v>882</v>
      </c>
      <c r="X113" s="430">
        <v>0</v>
      </c>
      <c r="Y113" s="430">
        <v>0.33</v>
      </c>
      <c r="Z113" s="430">
        <v>0</v>
      </c>
      <c r="AA113" s="431">
        <v>0.67</v>
      </c>
      <c r="AB113" s="525">
        <v>5.89</v>
      </c>
      <c r="AC113" s="413">
        <v>1.3333333333333333</v>
      </c>
      <c r="AD113" s="413">
        <v>0.3320261176470588</v>
      </c>
      <c r="AE113" s="413">
        <v>0.36666666666666664</v>
      </c>
      <c r="AF113" s="692">
        <f t="shared" si="57"/>
        <v>0</v>
      </c>
      <c r="AG113" s="693" t="s">
        <v>146</v>
      </c>
      <c r="AH113" s="709"/>
      <c r="AI113" s="693"/>
      <c r="AJ113" s="693"/>
      <c r="AK113" s="693"/>
      <c r="AL113" s="692">
        <f t="shared" si="77"/>
        <v>0</v>
      </c>
      <c r="AM113" s="697" t="s">
        <v>121</v>
      </c>
      <c r="AN113" s="693">
        <f t="shared" si="78"/>
        <v>0</v>
      </c>
      <c r="AO113" s="693">
        <f t="shared" si="79"/>
        <v>0</v>
      </c>
      <c r="AP113" s="693">
        <f t="shared" si="80"/>
        <v>0</v>
      </c>
      <c r="AQ113" s="693"/>
      <c r="AR113" s="401">
        <f t="shared" si="58"/>
        <v>0.33</v>
      </c>
      <c r="AS113" s="402" t="s">
        <v>100</v>
      </c>
      <c r="AT113" s="405">
        <f>5/5</f>
        <v>1</v>
      </c>
      <c r="AU113" s="627" t="s">
        <v>883</v>
      </c>
      <c r="AV113" s="553"/>
      <c r="AW113" s="729" t="str">
        <f t="shared" si="81"/>
        <v>ALTO</v>
      </c>
      <c r="AX113" s="397">
        <f t="shared" si="82"/>
        <v>0.33</v>
      </c>
      <c r="AY113" s="400" t="s">
        <v>246</v>
      </c>
      <c r="AZ113" s="398">
        <f t="shared" si="83"/>
        <v>1.9437</v>
      </c>
      <c r="BA113" s="398">
        <f t="shared" si="84"/>
        <v>0.44</v>
      </c>
      <c r="BB113" s="398">
        <f t="shared" si="85"/>
        <v>0.1095686188235294</v>
      </c>
      <c r="BC113" s="15"/>
      <c r="BD113" s="14">
        <f t="shared" si="86"/>
        <v>0</v>
      </c>
      <c r="BE113" s="760" t="s">
        <v>100</v>
      </c>
      <c r="BF113" s="761"/>
      <c r="BG113" s="762" t="s">
        <v>884</v>
      </c>
      <c r="BH113" s="763" t="s">
        <v>885</v>
      </c>
      <c r="BI113" s="658" t="str">
        <f t="shared" si="63"/>
        <v>BAJO</v>
      </c>
      <c r="BJ113" s="681">
        <f t="shared" si="87"/>
        <v>0</v>
      </c>
      <c r="BK113" s="647" t="s">
        <v>886</v>
      </c>
      <c r="BL113" s="682">
        <f t="shared" si="64"/>
        <v>0</v>
      </c>
      <c r="BM113" s="682">
        <f t="shared" si="65"/>
        <v>0</v>
      </c>
      <c r="BN113" s="682">
        <f t="shared" si="66"/>
        <v>0</v>
      </c>
      <c r="BO113" s="658"/>
      <c r="BP113" s="885">
        <f t="shared" si="76"/>
        <v>0.67</v>
      </c>
      <c r="BQ113" s="854" t="s">
        <v>105</v>
      </c>
      <c r="BR113" s="886">
        <f>100/100</f>
        <v>1</v>
      </c>
      <c r="BS113" s="887" t="s">
        <v>887</v>
      </c>
      <c r="BT113" s="887" t="s">
        <v>869</v>
      </c>
      <c r="BU113" s="905" t="str">
        <f t="shared" si="88"/>
        <v>ALTO</v>
      </c>
      <c r="BV113" s="875">
        <f t="shared" si="89"/>
        <v>0.67</v>
      </c>
      <c r="BW113" s="874" t="s">
        <v>888</v>
      </c>
      <c r="BX113" s="857">
        <f t="shared" si="67"/>
        <v>3.9462999999999999</v>
      </c>
      <c r="BY113" s="857">
        <f t="shared" si="68"/>
        <v>0.89333333333333331</v>
      </c>
      <c r="BZ113" s="857">
        <f t="shared" si="69"/>
        <v>0.22245749882352941</v>
      </c>
      <c r="CA113" s="857">
        <f t="shared" si="70"/>
        <v>0.24566666666666667</v>
      </c>
      <c r="CB113" s="16">
        <f t="shared" si="71"/>
        <v>0.67</v>
      </c>
      <c r="CC113" s="16">
        <f t="shared" si="72"/>
        <v>0.33</v>
      </c>
      <c r="CD113" s="16">
        <f t="shared" si="74"/>
        <v>1</v>
      </c>
      <c r="CE113" s="16">
        <f t="shared" si="75"/>
        <v>1</v>
      </c>
      <c r="CF113" s="16" t="e">
        <f>SUM(#REF!/(CC113+CB113))</f>
        <v>#REF!</v>
      </c>
      <c r="CG113" s="17"/>
      <c r="CH113" s="17"/>
      <c r="CI113" s="17"/>
      <c r="CJ113" s="17"/>
      <c r="CK113" s="1"/>
      <c r="CL113" s="1"/>
      <c r="CM113" s="1"/>
      <c r="CN113" s="1"/>
      <c r="CO113" s="1"/>
      <c r="CP113" s="1"/>
      <c r="CQ113" s="1"/>
      <c r="CR113" s="1"/>
      <c r="CS113" s="1"/>
      <c r="CT113" s="1"/>
      <c r="CU113" s="1"/>
      <c r="CV113" s="346">
        <f t="shared" si="73"/>
        <v>1</v>
      </c>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c r="GF113" s="1"/>
      <c r="GG113" s="1"/>
      <c r="GH113" s="1"/>
      <c r="GI113" s="1"/>
      <c r="GJ113" s="1"/>
      <c r="GK113" s="1"/>
      <c r="GL113" s="1"/>
      <c r="GM113" s="1"/>
      <c r="GN113" s="1"/>
      <c r="GO113" s="1"/>
      <c r="GP113" s="1"/>
      <c r="GQ113" s="1"/>
      <c r="GR113" s="1"/>
      <c r="GS113" s="1"/>
      <c r="GT113" s="1"/>
      <c r="GU113" s="1"/>
      <c r="GV113" s="1"/>
      <c r="GW113" s="1"/>
      <c r="GX113" s="1"/>
      <c r="GY113" s="1"/>
      <c r="GZ113" s="1"/>
      <c r="HA113" s="1"/>
      <c r="HB113" s="1"/>
      <c r="HC113" s="1"/>
      <c r="HD113" s="1"/>
      <c r="HE113" s="1"/>
      <c r="HF113" s="1"/>
      <c r="HG113" s="1"/>
      <c r="HH113" s="1"/>
      <c r="HI113" s="1"/>
      <c r="HJ113" s="1"/>
      <c r="HK113" s="1"/>
      <c r="HL113" s="1"/>
      <c r="HM113" s="1"/>
      <c r="HN113" s="1"/>
      <c r="HO113" s="1"/>
      <c r="HP113" s="1"/>
      <c r="HQ113" s="1"/>
      <c r="HR113" s="1"/>
      <c r="HS113" s="1"/>
      <c r="HT113" s="1"/>
      <c r="HU113" s="1"/>
      <c r="HV113" s="1"/>
      <c r="HW113" s="1"/>
      <c r="HX113" s="1"/>
      <c r="HY113" s="1"/>
      <c r="HZ113" s="1"/>
      <c r="IA113" s="1"/>
      <c r="IB113" s="1"/>
      <c r="IC113" s="1"/>
      <c r="ID113" s="1"/>
      <c r="IE113" s="1"/>
      <c r="IF113" s="1"/>
      <c r="IG113" s="1"/>
      <c r="IH113" s="1"/>
      <c r="II113" s="1"/>
      <c r="IJ113" s="1"/>
      <c r="IK113" s="1"/>
      <c r="IL113" s="1"/>
      <c r="IM113" s="1"/>
      <c r="IN113" s="1"/>
      <c r="IO113" s="1"/>
      <c r="IP113" s="1"/>
      <c r="IQ113" s="1"/>
      <c r="IR113" s="1"/>
      <c r="IS113" s="1"/>
      <c r="IT113" s="1"/>
      <c r="IU113" s="1"/>
      <c r="IV113" s="1"/>
      <c r="IW113" s="1"/>
      <c r="IX113" s="1"/>
      <c r="IY113" s="1"/>
      <c r="IZ113" s="1"/>
      <c r="JA113" s="1"/>
      <c r="JB113" s="1"/>
      <c r="JC113" s="1"/>
      <c r="JD113" s="1"/>
      <c r="JE113" s="1"/>
      <c r="JF113" s="1"/>
      <c r="JG113" s="1"/>
      <c r="JH113" s="1"/>
      <c r="JI113" s="1"/>
      <c r="JJ113" s="1"/>
      <c r="JK113" s="1"/>
      <c r="JL113" s="1"/>
      <c r="JM113" s="1"/>
      <c r="JN113" s="1"/>
      <c r="JO113" s="1"/>
      <c r="JP113" s="1"/>
      <c r="JQ113" s="1"/>
      <c r="JR113" s="1"/>
      <c r="JS113" s="1"/>
      <c r="JT113" s="1"/>
      <c r="JU113" s="1"/>
      <c r="JV113" s="1"/>
      <c r="JW113" s="1"/>
      <c r="JX113" s="1"/>
      <c r="JY113" s="1"/>
      <c r="JZ113" s="1"/>
      <c r="KA113" s="1"/>
      <c r="KB113" s="1"/>
      <c r="KC113" s="1"/>
      <c r="KD113" s="1"/>
      <c r="KE113" s="1"/>
      <c r="KF113" s="1"/>
      <c r="KG113" s="1"/>
      <c r="KH113" s="1"/>
      <c r="KI113" s="1"/>
      <c r="KJ113" s="1"/>
      <c r="KK113" s="1"/>
      <c r="KL113" s="1"/>
      <c r="KM113" s="1"/>
      <c r="KN113" s="1"/>
      <c r="KO113" s="1"/>
      <c r="KP113" s="1"/>
      <c r="KQ113" s="1"/>
    </row>
    <row r="114" spans="1:303" s="5" customFormat="1" ht="171" x14ac:dyDescent="0.2">
      <c r="A114" s="354" t="s">
        <v>79</v>
      </c>
      <c r="B114" s="354" t="s">
        <v>80</v>
      </c>
      <c r="C114" s="354" t="s">
        <v>81</v>
      </c>
      <c r="D114" s="354" t="s">
        <v>82</v>
      </c>
      <c r="E114" s="354" t="s">
        <v>83</v>
      </c>
      <c r="F114" s="354" t="s">
        <v>84</v>
      </c>
      <c r="G114" s="354" t="s">
        <v>85</v>
      </c>
      <c r="H114" s="354" t="s">
        <v>640</v>
      </c>
      <c r="I114" s="354" t="s">
        <v>681</v>
      </c>
      <c r="J114" s="354" t="s">
        <v>752</v>
      </c>
      <c r="K114" s="348" t="s">
        <v>878</v>
      </c>
      <c r="L114" s="348" t="s">
        <v>652</v>
      </c>
      <c r="M114" s="686" t="s">
        <v>889</v>
      </c>
      <c r="N114" s="361" t="s">
        <v>444</v>
      </c>
      <c r="O114" s="361" t="s">
        <v>445</v>
      </c>
      <c r="P114" s="922">
        <v>39542136.277533107</v>
      </c>
      <c r="Q114" s="364" t="s">
        <v>654</v>
      </c>
      <c r="R114" s="364" t="s">
        <v>213</v>
      </c>
      <c r="S114" s="384">
        <v>12</v>
      </c>
      <c r="T114" s="355" t="s">
        <v>890</v>
      </c>
      <c r="U114" s="355" t="s">
        <v>891</v>
      </c>
      <c r="V114" s="348" t="s">
        <v>119</v>
      </c>
      <c r="W114" s="355" t="s">
        <v>892</v>
      </c>
      <c r="X114" s="430">
        <v>0.25</v>
      </c>
      <c r="Y114" s="430">
        <v>0.25</v>
      </c>
      <c r="Z114" s="430">
        <v>0.25</v>
      </c>
      <c r="AA114" s="431">
        <v>0.25</v>
      </c>
      <c r="AB114" s="525">
        <v>5.89</v>
      </c>
      <c r="AC114" s="413">
        <v>1.3333333333333333</v>
      </c>
      <c r="AD114" s="413">
        <v>0.3320261176470588</v>
      </c>
      <c r="AE114" s="413">
        <v>0.36666666666666664</v>
      </c>
      <c r="AF114" s="692">
        <f t="shared" si="57"/>
        <v>0.25</v>
      </c>
      <c r="AG114" s="693" t="s">
        <v>100</v>
      </c>
      <c r="AH114" s="694">
        <f>3/3</f>
        <v>1</v>
      </c>
      <c r="AI114" s="697" t="s">
        <v>893</v>
      </c>
      <c r="AJ114" s="693"/>
      <c r="AK114" s="693" t="str">
        <f>+IF(AND(AH114&gt;=0%,AH114&lt;=60%),"BAJO",IF(AND(AH114&gt;=61%,AH114&lt;=80%),"MEDIO","ALTO"))</f>
        <v>ALTO</v>
      </c>
      <c r="AL114" s="692">
        <f t="shared" si="77"/>
        <v>0.25</v>
      </c>
      <c r="AM114" s="695" t="s">
        <v>246</v>
      </c>
      <c r="AN114" s="693">
        <f t="shared" si="78"/>
        <v>1.4724999999999999</v>
      </c>
      <c r="AO114" s="693">
        <f t="shared" si="79"/>
        <v>0.33333333333333331</v>
      </c>
      <c r="AP114" s="693">
        <f t="shared" si="80"/>
        <v>8.3006529411764701E-2</v>
      </c>
      <c r="AQ114" s="693"/>
      <c r="AR114" s="401">
        <f t="shared" si="58"/>
        <v>0.25</v>
      </c>
      <c r="AS114" s="402" t="s">
        <v>100</v>
      </c>
      <c r="AT114" s="405">
        <f>3/3</f>
        <v>1</v>
      </c>
      <c r="AU114" s="627" t="s">
        <v>894</v>
      </c>
      <c r="AV114" s="553"/>
      <c r="AW114" s="729" t="str">
        <f t="shared" si="81"/>
        <v>ALTO</v>
      </c>
      <c r="AX114" s="397">
        <f t="shared" si="82"/>
        <v>0.25</v>
      </c>
      <c r="AY114" s="400" t="s">
        <v>246</v>
      </c>
      <c r="AZ114" s="398">
        <f t="shared" si="83"/>
        <v>1.4724999999999999</v>
      </c>
      <c r="BA114" s="398">
        <f t="shared" si="84"/>
        <v>0.33333333333333331</v>
      </c>
      <c r="BB114" s="398">
        <f t="shared" si="85"/>
        <v>8.3006529411764701E-2</v>
      </c>
      <c r="BC114" s="15"/>
      <c r="BD114" s="14">
        <f t="shared" si="86"/>
        <v>0.25</v>
      </c>
      <c r="BE114" s="764" t="s">
        <v>100</v>
      </c>
      <c r="BF114" s="765">
        <f>3/3</f>
        <v>1</v>
      </c>
      <c r="BG114" s="766" t="s">
        <v>895</v>
      </c>
      <c r="BH114" s="767" t="s">
        <v>885</v>
      </c>
      <c r="BI114" s="658" t="str">
        <f t="shared" si="63"/>
        <v>ALTO</v>
      </c>
      <c r="BJ114" s="681">
        <f t="shared" si="87"/>
        <v>0.25</v>
      </c>
      <c r="BK114" s="647" t="s">
        <v>896</v>
      </c>
      <c r="BL114" s="682">
        <f t="shared" si="64"/>
        <v>4.2444821731748732E-2</v>
      </c>
      <c r="BM114" s="682">
        <f t="shared" si="65"/>
        <v>0.1875</v>
      </c>
      <c r="BN114" s="682">
        <f t="shared" si="66"/>
        <v>0.75295281519313506</v>
      </c>
      <c r="BO114" s="658"/>
      <c r="BP114" s="853">
        <f t="shared" si="76"/>
        <v>0.25</v>
      </c>
      <c r="BQ114" s="854" t="s">
        <v>105</v>
      </c>
      <c r="BR114" s="876">
        <f>100/100</f>
        <v>1</v>
      </c>
      <c r="BS114" s="880" t="s">
        <v>897</v>
      </c>
      <c r="BT114" s="880"/>
      <c r="BU114" s="905" t="str">
        <f t="shared" si="88"/>
        <v>ALTO</v>
      </c>
      <c r="BV114" s="875">
        <f t="shared" si="89"/>
        <v>0.25</v>
      </c>
      <c r="BW114" s="874" t="s">
        <v>888</v>
      </c>
      <c r="BX114" s="857">
        <f t="shared" si="67"/>
        <v>1.4724999999999999</v>
      </c>
      <c r="BY114" s="857">
        <f t="shared" si="68"/>
        <v>0.33333333333333331</v>
      </c>
      <c r="BZ114" s="857">
        <f t="shared" si="69"/>
        <v>8.3006529411764701E-2</v>
      </c>
      <c r="CA114" s="857">
        <f t="shared" si="70"/>
        <v>9.166666666666666E-2</v>
      </c>
      <c r="CB114" s="16">
        <f t="shared" si="71"/>
        <v>0.5</v>
      </c>
      <c r="CC114" s="16">
        <f t="shared" si="72"/>
        <v>0.5</v>
      </c>
      <c r="CD114" s="16">
        <f t="shared" si="74"/>
        <v>1</v>
      </c>
      <c r="CE114" s="16">
        <f t="shared" si="75"/>
        <v>1</v>
      </c>
      <c r="CF114" s="16" t="e">
        <f>SUM(#REF!/(CC114+CB114))</f>
        <v>#REF!</v>
      </c>
      <c r="CG114" s="17"/>
      <c r="CH114" s="17"/>
      <c r="CI114" s="17"/>
      <c r="CJ114" s="17"/>
      <c r="CK114" s="1"/>
      <c r="CL114" s="1"/>
      <c r="CM114" s="1"/>
      <c r="CN114" s="1"/>
      <c r="CO114" s="1"/>
      <c r="CP114" s="1"/>
      <c r="CQ114" s="1"/>
      <c r="CR114" s="1"/>
      <c r="CS114" s="1"/>
      <c r="CT114" s="1"/>
      <c r="CU114" s="1"/>
      <c r="CV114" s="346">
        <f t="shared" si="73"/>
        <v>1</v>
      </c>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c r="GF114" s="1"/>
      <c r="GG114" s="1"/>
      <c r="GH114" s="1"/>
      <c r="GI114" s="1"/>
      <c r="GJ114" s="1"/>
      <c r="GK114" s="1"/>
      <c r="GL114" s="1"/>
      <c r="GM114" s="1"/>
      <c r="GN114" s="1"/>
      <c r="GO114" s="1"/>
      <c r="GP114" s="1"/>
      <c r="GQ114" s="1"/>
      <c r="GR114" s="1"/>
      <c r="GS114" s="1"/>
      <c r="GT114" s="1"/>
      <c r="GU114" s="1"/>
      <c r="GV114" s="1"/>
      <c r="GW114" s="1"/>
      <c r="GX114" s="1"/>
      <c r="GY114" s="1"/>
      <c r="GZ114" s="1"/>
      <c r="HA114" s="1"/>
      <c r="HB114" s="1"/>
      <c r="HC114" s="1"/>
      <c r="HD114" s="1"/>
      <c r="HE114" s="1"/>
      <c r="HF114" s="1"/>
      <c r="HG114" s="1"/>
      <c r="HH114" s="1"/>
      <c r="HI114" s="1"/>
      <c r="HJ114" s="1"/>
      <c r="HK114" s="1"/>
      <c r="HL114" s="1"/>
      <c r="HM114" s="1"/>
      <c r="HN114" s="1"/>
      <c r="HO114" s="1"/>
      <c r="HP114" s="1"/>
      <c r="HQ114" s="1"/>
      <c r="HR114" s="1"/>
      <c r="HS114" s="1"/>
      <c r="HT114" s="1"/>
      <c r="HU114" s="1"/>
      <c r="HV114" s="1"/>
      <c r="HW114" s="1"/>
      <c r="HX114" s="1"/>
      <c r="HY114" s="1"/>
      <c r="HZ114" s="1"/>
      <c r="IA114" s="1"/>
      <c r="IB114" s="1"/>
      <c r="IC114" s="1"/>
      <c r="ID114" s="1"/>
      <c r="IE114" s="1"/>
      <c r="IF114" s="1"/>
      <c r="IG114" s="1"/>
      <c r="IH114" s="1"/>
      <c r="II114" s="1"/>
      <c r="IJ114" s="1"/>
      <c r="IK114" s="1"/>
      <c r="IL114" s="1"/>
      <c r="IM114" s="1"/>
      <c r="IN114" s="1"/>
      <c r="IO114" s="1"/>
      <c r="IP114" s="1"/>
      <c r="IQ114" s="1"/>
      <c r="IR114" s="1"/>
      <c r="IS114" s="1"/>
      <c r="IT114" s="1"/>
      <c r="IU114" s="1"/>
      <c r="IV114" s="1"/>
      <c r="IW114" s="1"/>
      <c r="IX114" s="1"/>
      <c r="IY114" s="1"/>
      <c r="IZ114" s="1"/>
      <c r="JA114" s="1"/>
      <c r="JB114" s="1"/>
      <c r="JC114" s="1"/>
      <c r="JD114" s="1"/>
      <c r="JE114" s="1"/>
      <c r="JF114" s="1"/>
      <c r="JG114" s="1"/>
      <c r="JH114" s="1"/>
      <c r="JI114" s="1"/>
      <c r="JJ114" s="1"/>
      <c r="JK114" s="1"/>
      <c r="JL114" s="1"/>
      <c r="JM114" s="1"/>
      <c r="JN114" s="1"/>
      <c r="JO114" s="1"/>
      <c r="JP114" s="1"/>
      <c r="JQ114" s="1"/>
      <c r="JR114" s="1"/>
      <c r="JS114" s="1"/>
      <c r="JT114" s="1"/>
      <c r="JU114" s="1"/>
      <c r="JV114" s="1"/>
      <c r="JW114" s="1"/>
      <c r="JX114" s="1"/>
      <c r="JY114" s="1"/>
      <c r="JZ114" s="1"/>
      <c r="KA114" s="1"/>
      <c r="KB114" s="1"/>
      <c r="KC114" s="1"/>
      <c r="KD114" s="1"/>
      <c r="KE114" s="1"/>
      <c r="KF114" s="1"/>
      <c r="KG114" s="1"/>
      <c r="KH114" s="1"/>
      <c r="KI114" s="1"/>
      <c r="KJ114" s="1"/>
      <c r="KK114" s="1"/>
      <c r="KL114" s="1"/>
      <c r="KM114" s="1"/>
      <c r="KN114" s="1"/>
      <c r="KO114" s="1"/>
      <c r="KP114" s="1"/>
      <c r="KQ114" s="1"/>
    </row>
    <row r="115" spans="1:303" s="5" customFormat="1" ht="327.75" x14ac:dyDescent="0.2">
      <c r="A115" s="354" t="s">
        <v>79</v>
      </c>
      <c r="B115" s="354" t="s">
        <v>80</v>
      </c>
      <c r="C115" s="354" t="s">
        <v>81</v>
      </c>
      <c r="D115" s="354" t="s">
        <v>82</v>
      </c>
      <c r="E115" s="354" t="s">
        <v>83</v>
      </c>
      <c r="F115" s="354" t="s">
        <v>84</v>
      </c>
      <c r="G115" s="354" t="s">
        <v>85</v>
      </c>
      <c r="H115" s="354" t="s">
        <v>640</v>
      </c>
      <c r="I115" s="354" t="s">
        <v>681</v>
      </c>
      <c r="J115" s="354" t="s">
        <v>752</v>
      </c>
      <c r="K115" s="348" t="s">
        <v>878</v>
      </c>
      <c r="L115" s="348" t="s">
        <v>652</v>
      </c>
      <c r="M115" s="686" t="s">
        <v>898</v>
      </c>
      <c r="N115" s="361" t="s">
        <v>541</v>
      </c>
      <c r="O115" s="361" t="s">
        <v>154</v>
      </c>
      <c r="P115" s="922">
        <v>39542136.277533107</v>
      </c>
      <c r="Q115" s="364" t="s">
        <v>654</v>
      </c>
      <c r="R115" s="364" t="s">
        <v>213</v>
      </c>
      <c r="S115" s="384">
        <v>10</v>
      </c>
      <c r="T115" s="355" t="s">
        <v>899</v>
      </c>
      <c r="U115" s="355" t="s">
        <v>900</v>
      </c>
      <c r="V115" s="348" t="s">
        <v>119</v>
      </c>
      <c r="W115" s="355" t="s">
        <v>901</v>
      </c>
      <c r="X115" s="430">
        <v>0.25</v>
      </c>
      <c r="Y115" s="430">
        <v>0.25</v>
      </c>
      <c r="Z115" s="430">
        <v>0.25</v>
      </c>
      <c r="AA115" s="431">
        <v>0.25</v>
      </c>
      <c r="AB115" s="525">
        <v>5.89</v>
      </c>
      <c r="AC115" s="413">
        <v>1.3333333333333333</v>
      </c>
      <c r="AD115" s="413">
        <v>0.3320261176470588</v>
      </c>
      <c r="AE115" s="413">
        <v>0.36666666666666664</v>
      </c>
      <c r="AF115" s="692">
        <f t="shared" si="57"/>
        <v>0.25</v>
      </c>
      <c r="AG115" s="693" t="s">
        <v>100</v>
      </c>
      <c r="AH115" s="698">
        <f>3/3</f>
        <v>1</v>
      </c>
      <c r="AI115" s="697" t="s">
        <v>902</v>
      </c>
      <c r="AJ115" s="693"/>
      <c r="AK115" s="693" t="str">
        <f>+IF(AND(AH115&gt;=0%,AH115&lt;=60%),"BAJO",IF(AND(AH115&gt;=61%,AH115&lt;=80%),"MEDIO","ALTO"))</f>
        <v>ALTO</v>
      </c>
      <c r="AL115" s="692">
        <f t="shared" si="77"/>
        <v>0.25</v>
      </c>
      <c r="AM115" s="695" t="s">
        <v>246</v>
      </c>
      <c r="AN115" s="693">
        <f t="shared" si="78"/>
        <v>1.4724999999999999</v>
      </c>
      <c r="AO115" s="693">
        <f t="shared" si="79"/>
        <v>0.33333333333333331</v>
      </c>
      <c r="AP115" s="693">
        <f t="shared" si="80"/>
        <v>8.3006529411764701E-2</v>
      </c>
      <c r="AQ115" s="693"/>
      <c r="AR115" s="401">
        <f t="shared" si="58"/>
        <v>0.25</v>
      </c>
      <c r="AS115" s="402" t="s">
        <v>100</v>
      </c>
      <c r="AT115" s="405">
        <f>3/3</f>
        <v>1</v>
      </c>
      <c r="AU115" s="627" t="s">
        <v>903</v>
      </c>
      <c r="AV115" s="553"/>
      <c r="AW115" s="729" t="str">
        <f t="shared" si="81"/>
        <v>ALTO</v>
      </c>
      <c r="AX115" s="397">
        <f t="shared" si="82"/>
        <v>0.25</v>
      </c>
      <c r="AY115" s="400" t="s">
        <v>246</v>
      </c>
      <c r="AZ115" s="398">
        <f t="shared" si="83"/>
        <v>1.4724999999999999</v>
      </c>
      <c r="BA115" s="398">
        <f t="shared" si="84"/>
        <v>0.33333333333333331</v>
      </c>
      <c r="BB115" s="398">
        <f t="shared" si="85"/>
        <v>8.3006529411764701E-2</v>
      </c>
      <c r="BC115" s="15"/>
      <c r="BD115" s="14">
        <f t="shared" si="86"/>
        <v>0.25</v>
      </c>
      <c r="BE115" s="764" t="s">
        <v>100</v>
      </c>
      <c r="BF115" s="765">
        <f>3/3</f>
        <v>1</v>
      </c>
      <c r="BG115" s="766" t="s">
        <v>904</v>
      </c>
      <c r="BH115" s="767" t="s">
        <v>885</v>
      </c>
      <c r="BI115" s="658" t="str">
        <f t="shared" si="63"/>
        <v>ALTO</v>
      </c>
      <c r="BJ115" s="681">
        <f t="shared" si="87"/>
        <v>0.25</v>
      </c>
      <c r="BK115" s="647" t="s">
        <v>905</v>
      </c>
      <c r="BL115" s="682">
        <f t="shared" si="64"/>
        <v>4.2444821731748732E-2</v>
      </c>
      <c r="BM115" s="682">
        <f t="shared" si="65"/>
        <v>0.1875</v>
      </c>
      <c r="BN115" s="682">
        <f t="shared" si="66"/>
        <v>0.75295281519313506</v>
      </c>
      <c r="BO115" s="658"/>
      <c r="BP115" s="853">
        <f t="shared" si="76"/>
        <v>0.25</v>
      </c>
      <c r="BQ115" s="854" t="s">
        <v>105</v>
      </c>
      <c r="BR115" s="876">
        <f>100/100</f>
        <v>1</v>
      </c>
      <c r="BS115" s="880" t="s">
        <v>906</v>
      </c>
      <c r="BT115" s="880"/>
      <c r="BU115" s="905" t="str">
        <f t="shared" si="88"/>
        <v>ALTO</v>
      </c>
      <c r="BV115" s="875">
        <f t="shared" si="89"/>
        <v>0.25</v>
      </c>
      <c r="BW115" s="874" t="s">
        <v>888</v>
      </c>
      <c r="BX115" s="857">
        <f t="shared" si="67"/>
        <v>1.4724999999999999</v>
      </c>
      <c r="BY115" s="857">
        <f t="shared" si="68"/>
        <v>0.33333333333333331</v>
      </c>
      <c r="BZ115" s="857">
        <f t="shared" si="69"/>
        <v>8.3006529411764701E-2</v>
      </c>
      <c r="CA115" s="857">
        <f t="shared" si="70"/>
        <v>9.166666666666666E-2</v>
      </c>
      <c r="CB115" s="16">
        <f t="shared" si="71"/>
        <v>0.5</v>
      </c>
      <c r="CC115" s="16">
        <f t="shared" si="72"/>
        <v>0.5</v>
      </c>
      <c r="CD115" s="16">
        <f t="shared" si="74"/>
        <v>1</v>
      </c>
      <c r="CE115" s="16">
        <f t="shared" si="75"/>
        <v>1</v>
      </c>
      <c r="CF115" s="16" t="e">
        <f>SUM(#REF!/(CC115+CB115))</f>
        <v>#REF!</v>
      </c>
      <c r="CG115" s="17"/>
      <c r="CH115" s="17"/>
      <c r="CI115" s="17"/>
      <c r="CJ115" s="17"/>
      <c r="CK115" s="1"/>
      <c r="CL115" s="1"/>
      <c r="CM115" s="1"/>
      <c r="CN115" s="1"/>
      <c r="CO115" s="1"/>
      <c r="CP115" s="1"/>
      <c r="CQ115" s="1"/>
      <c r="CR115" s="1"/>
      <c r="CS115" s="1"/>
      <c r="CT115" s="1"/>
      <c r="CU115" s="1"/>
      <c r="CV115" s="346">
        <f t="shared" si="73"/>
        <v>1</v>
      </c>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c r="GF115" s="1"/>
      <c r="GG115" s="1"/>
      <c r="GH115" s="1"/>
      <c r="GI115" s="1"/>
      <c r="GJ115" s="1"/>
      <c r="GK115" s="1"/>
      <c r="GL115" s="1"/>
      <c r="GM115" s="1"/>
      <c r="GN115" s="1"/>
      <c r="GO115" s="1"/>
      <c r="GP115" s="1"/>
      <c r="GQ115" s="1"/>
      <c r="GR115" s="1"/>
      <c r="GS115" s="1"/>
      <c r="GT115" s="1"/>
      <c r="GU115" s="1"/>
      <c r="GV115" s="1"/>
      <c r="GW115" s="1"/>
      <c r="GX115" s="1"/>
      <c r="GY115" s="1"/>
      <c r="GZ115" s="1"/>
      <c r="HA115" s="1"/>
      <c r="HB115" s="1"/>
      <c r="HC115" s="1"/>
      <c r="HD115" s="1"/>
      <c r="HE115" s="1"/>
      <c r="HF115" s="1"/>
      <c r="HG115" s="1"/>
      <c r="HH115" s="1"/>
      <c r="HI115" s="1"/>
      <c r="HJ115" s="1"/>
      <c r="HK115" s="1"/>
      <c r="HL115" s="1"/>
      <c r="HM115" s="1"/>
      <c r="HN115" s="1"/>
      <c r="HO115" s="1"/>
      <c r="HP115" s="1"/>
      <c r="HQ115" s="1"/>
      <c r="HR115" s="1"/>
      <c r="HS115" s="1"/>
      <c r="HT115" s="1"/>
      <c r="HU115" s="1"/>
      <c r="HV115" s="1"/>
      <c r="HW115" s="1"/>
      <c r="HX115" s="1"/>
      <c r="HY115" s="1"/>
      <c r="HZ115" s="1"/>
      <c r="IA115" s="1"/>
      <c r="IB115" s="1"/>
      <c r="IC115" s="1"/>
      <c r="ID115" s="1"/>
      <c r="IE115" s="1"/>
      <c r="IF115" s="1"/>
      <c r="IG115" s="1"/>
      <c r="IH115" s="1"/>
      <c r="II115" s="1"/>
      <c r="IJ115" s="1"/>
      <c r="IK115" s="1"/>
      <c r="IL115" s="1"/>
      <c r="IM115" s="1"/>
      <c r="IN115" s="1"/>
      <c r="IO115" s="1"/>
      <c r="IP115" s="1"/>
      <c r="IQ115" s="1"/>
      <c r="IR115" s="1"/>
      <c r="IS115" s="1"/>
      <c r="IT115" s="1"/>
      <c r="IU115" s="1"/>
      <c r="IV115" s="1"/>
      <c r="IW115" s="1"/>
      <c r="IX115" s="1"/>
      <c r="IY115" s="1"/>
      <c r="IZ115" s="1"/>
      <c r="JA115" s="1"/>
      <c r="JB115" s="1"/>
      <c r="JC115" s="1"/>
      <c r="JD115" s="1"/>
      <c r="JE115" s="1"/>
      <c r="JF115" s="1"/>
      <c r="JG115" s="1"/>
      <c r="JH115" s="1"/>
      <c r="JI115" s="1"/>
      <c r="JJ115" s="1"/>
      <c r="JK115" s="1"/>
      <c r="JL115" s="1"/>
      <c r="JM115" s="1"/>
      <c r="JN115" s="1"/>
      <c r="JO115" s="1"/>
      <c r="JP115" s="1"/>
      <c r="JQ115" s="1"/>
      <c r="JR115" s="1"/>
      <c r="JS115" s="1"/>
      <c r="JT115" s="1"/>
      <c r="JU115" s="1"/>
      <c r="JV115" s="1"/>
      <c r="JW115" s="1"/>
      <c r="JX115" s="1"/>
      <c r="JY115" s="1"/>
      <c r="JZ115" s="1"/>
      <c r="KA115" s="1"/>
      <c r="KB115" s="1"/>
      <c r="KC115" s="1"/>
      <c r="KD115" s="1"/>
      <c r="KE115" s="1"/>
      <c r="KF115" s="1"/>
      <c r="KG115" s="1"/>
      <c r="KH115" s="1"/>
      <c r="KI115" s="1"/>
      <c r="KJ115" s="1"/>
      <c r="KK115" s="1"/>
      <c r="KL115" s="1"/>
      <c r="KM115" s="1"/>
      <c r="KN115" s="1"/>
      <c r="KO115" s="1"/>
      <c r="KP115" s="1"/>
      <c r="KQ115" s="1"/>
    </row>
    <row r="116" spans="1:303" s="5" customFormat="1" ht="171" x14ac:dyDescent="0.2">
      <c r="A116" s="354" t="s">
        <v>79</v>
      </c>
      <c r="B116" s="354" t="s">
        <v>80</v>
      </c>
      <c r="C116" s="354" t="s">
        <v>81</v>
      </c>
      <c r="D116" s="354" t="s">
        <v>82</v>
      </c>
      <c r="E116" s="354" t="s">
        <v>83</v>
      </c>
      <c r="F116" s="354" t="s">
        <v>84</v>
      </c>
      <c r="G116" s="354" t="s">
        <v>85</v>
      </c>
      <c r="H116" s="354" t="s">
        <v>640</v>
      </c>
      <c r="I116" s="354" t="s">
        <v>681</v>
      </c>
      <c r="J116" s="354" t="s">
        <v>752</v>
      </c>
      <c r="K116" s="348" t="s">
        <v>878</v>
      </c>
      <c r="L116" s="348" t="s">
        <v>652</v>
      </c>
      <c r="M116" s="686" t="s">
        <v>907</v>
      </c>
      <c r="N116" s="361" t="s">
        <v>444</v>
      </c>
      <c r="O116" s="361" t="s">
        <v>445</v>
      </c>
      <c r="P116" s="922">
        <v>39542136.277533107</v>
      </c>
      <c r="Q116" s="364" t="s">
        <v>654</v>
      </c>
      <c r="R116" s="364" t="s">
        <v>213</v>
      </c>
      <c r="S116" s="385">
        <v>1</v>
      </c>
      <c r="T116" s="355" t="s">
        <v>908</v>
      </c>
      <c r="U116" s="355" t="s">
        <v>909</v>
      </c>
      <c r="V116" s="348" t="s">
        <v>98</v>
      </c>
      <c r="W116" s="355" t="s">
        <v>910</v>
      </c>
      <c r="X116" s="430">
        <v>0.25</v>
      </c>
      <c r="Y116" s="430">
        <v>0.25</v>
      </c>
      <c r="Z116" s="430">
        <v>0.25</v>
      </c>
      <c r="AA116" s="431">
        <v>0.25</v>
      </c>
      <c r="AB116" s="525">
        <v>5.89</v>
      </c>
      <c r="AC116" s="413">
        <v>1.3333333333333333</v>
      </c>
      <c r="AD116" s="413">
        <v>0.3320261176470588</v>
      </c>
      <c r="AE116" s="413">
        <v>0.36666666666666664</v>
      </c>
      <c r="AF116" s="692">
        <f t="shared" si="57"/>
        <v>0.25</v>
      </c>
      <c r="AG116" s="693" t="s">
        <v>100</v>
      </c>
      <c r="AH116" s="698">
        <f>96/96</f>
        <v>1</v>
      </c>
      <c r="AI116" s="697" t="s">
        <v>911</v>
      </c>
      <c r="AJ116" s="693"/>
      <c r="AK116" s="693" t="str">
        <f>+IF(AND(AH116&gt;=0%,AH116&lt;=60%),"BAJO",IF(AND(AH116&gt;=61%,AH116&lt;=80%),"MEDIO","ALTO"))</f>
        <v>ALTO</v>
      </c>
      <c r="AL116" s="692">
        <f t="shared" si="77"/>
        <v>0.25</v>
      </c>
      <c r="AM116" s="695" t="s">
        <v>246</v>
      </c>
      <c r="AN116" s="693">
        <f t="shared" si="78"/>
        <v>1.4724999999999999</v>
      </c>
      <c r="AO116" s="693">
        <f t="shared" si="79"/>
        <v>0.33333333333333331</v>
      </c>
      <c r="AP116" s="693">
        <f t="shared" si="80"/>
        <v>8.3006529411764701E-2</v>
      </c>
      <c r="AQ116" s="693"/>
      <c r="AR116" s="401">
        <f t="shared" si="58"/>
        <v>0.25</v>
      </c>
      <c r="AS116" s="402" t="s">
        <v>100</v>
      </c>
      <c r="AT116" s="405">
        <f>92/92</f>
        <v>1</v>
      </c>
      <c r="AU116" s="627" t="s">
        <v>912</v>
      </c>
      <c r="AV116" s="553"/>
      <c r="AW116" s="729" t="str">
        <f t="shared" si="81"/>
        <v>ALTO</v>
      </c>
      <c r="AX116" s="397">
        <f t="shared" si="82"/>
        <v>0.25</v>
      </c>
      <c r="AY116" s="400" t="s">
        <v>246</v>
      </c>
      <c r="AZ116" s="398">
        <f t="shared" si="83"/>
        <v>1.4724999999999999</v>
      </c>
      <c r="BA116" s="398">
        <f t="shared" si="84"/>
        <v>0.33333333333333331</v>
      </c>
      <c r="BB116" s="398">
        <f t="shared" si="85"/>
        <v>8.3006529411764701E-2</v>
      </c>
      <c r="BC116" s="15"/>
      <c r="BD116" s="14">
        <f t="shared" si="86"/>
        <v>0.25</v>
      </c>
      <c r="BE116" s="764" t="s">
        <v>100</v>
      </c>
      <c r="BF116" s="765">
        <f>79/79</f>
        <v>1</v>
      </c>
      <c r="BG116" s="766" t="s">
        <v>913</v>
      </c>
      <c r="BH116" s="767" t="s">
        <v>885</v>
      </c>
      <c r="BI116" s="658" t="str">
        <f t="shared" si="63"/>
        <v>ALTO</v>
      </c>
      <c r="BJ116" s="681">
        <f t="shared" si="87"/>
        <v>0.25</v>
      </c>
      <c r="BK116" s="647" t="s">
        <v>914</v>
      </c>
      <c r="BL116" s="682">
        <f t="shared" si="64"/>
        <v>4.2444821731748732E-2</v>
      </c>
      <c r="BM116" s="682">
        <f t="shared" si="65"/>
        <v>0.1875</v>
      </c>
      <c r="BN116" s="682">
        <f t="shared" si="66"/>
        <v>0.75295281519313506</v>
      </c>
      <c r="BO116" s="658"/>
      <c r="BP116" s="853">
        <f t="shared" si="76"/>
        <v>0.25</v>
      </c>
      <c r="BQ116" s="854" t="s">
        <v>105</v>
      </c>
      <c r="BR116" s="873">
        <f>100/100</f>
        <v>1</v>
      </c>
      <c r="BS116" s="874" t="s">
        <v>915</v>
      </c>
      <c r="BT116" s="872"/>
      <c r="BU116" s="905" t="str">
        <f t="shared" si="88"/>
        <v>ALTO</v>
      </c>
      <c r="BV116" s="875">
        <f t="shared" si="89"/>
        <v>0.25</v>
      </c>
      <c r="BW116" s="874" t="s">
        <v>888</v>
      </c>
      <c r="BX116" s="857">
        <f t="shared" si="67"/>
        <v>1.4724999999999999</v>
      </c>
      <c r="BY116" s="857">
        <f t="shared" si="68"/>
        <v>0.33333333333333331</v>
      </c>
      <c r="BZ116" s="857">
        <f t="shared" si="69"/>
        <v>8.3006529411764701E-2</v>
      </c>
      <c r="CA116" s="857">
        <f t="shared" si="70"/>
        <v>9.166666666666666E-2</v>
      </c>
      <c r="CB116" s="16">
        <f t="shared" si="71"/>
        <v>0.5</v>
      </c>
      <c r="CC116" s="16">
        <f t="shared" si="72"/>
        <v>0.5</v>
      </c>
      <c r="CD116" s="16">
        <f t="shared" si="74"/>
        <v>1</v>
      </c>
      <c r="CE116" s="16">
        <f t="shared" si="75"/>
        <v>1</v>
      </c>
      <c r="CF116" s="16" t="e">
        <f>SUM(#REF!/(CC116+CB116))</f>
        <v>#REF!</v>
      </c>
      <c r="CG116" s="17"/>
      <c r="CH116" s="17"/>
      <c r="CI116" s="17"/>
      <c r="CJ116" s="17"/>
      <c r="CK116" s="1"/>
      <c r="CL116" s="1"/>
      <c r="CM116" s="1"/>
      <c r="CN116" s="1"/>
      <c r="CO116" s="1"/>
      <c r="CP116" s="1"/>
      <c r="CQ116" s="1"/>
      <c r="CR116" s="1"/>
      <c r="CS116" s="1"/>
      <c r="CT116" s="1"/>
      <c r="CU116" s="1"/>
      <c r="CV116" s="346">
        <f t="shared" si="73"/>
        <v>1</v>
      </c>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c r="GD116" s="1"/>
      <c r="GE116" s="1"/>
      <c r="GF116" s="1"/>
      <c r="GG116" s="1"/>
      <c r="GH116" s="1"/>
      <c r="GI116" s="1"/>
      <c r="GJ116" s="1"/>
      <c r="GK116" s="1"/>
      <c r="GL116" s="1"/>
      <c r="GM116" s="1"/>
      <c r="GN116" s="1"/>
      <c r="GO116" s="1"/>
      <c r="GP116" s="1"/>
      <c r="GQ116" s="1"/>
      <c r="GR116" s="1"/>
      <c r="GS116" s="1"/>
      <c r="GT116" s="1"/>
      <c r="GU116" s="1"/>
      <c r="GV116" s="1"/>
      <c r="GW116" s="1"/>
      <c r="GX116" s="1"/>
      <c r="GY116" s="1"/>
      <c r="GZ116" s="1"/>
      <c r="HA116" s="1"/>
      <c r="HB116" s="1"/>
      <c r="HC116" s="1"/>
      <c r="HD116" s="1"/>
      <c r="HE116" s="1"/>
      <c r="HF116" s="1"/>
      <c r="HG116" s="1"/>
      <c r="HH116" s="1"/>
      <c r="HI116" s="1"/>
      <c r="HJ116" s="1"/>
      <c r="HK116" s="1"/>
      <c r="HL116" s="1"/>
      <c r="HM116" s="1"/>
      <c r="HN116" s="1"/>
      <c r="HO116" s="1"/>
      <c r="HP116" s="1"/>
      <c r="HQ116" s="1"/>
      <c r="HR116" s="1"/>
      <c r="HS116" s="1"/>
      <c r="HT116" s="1"/>
      <c r="HU116" s="1"/>
      <c r="HV116" s="1"/>
      <c r="HW116" s="1"/>
      <c r="HX116" s="1"/>
      <c r="HY116" s="1"/>
      <c r="HZ116" s="1"/>
      <c r="IA116" s="1"/>
      <c r="IB116" s="1"/>
      <c r="IC116" s="1"/>
      <c r="ID116" s="1"/>
      <c r="IE116" s="1"/>
      <c r="IF116" s="1"/>
      <c r="IG116" s="1"/>
      <c r="IH116" s="1"/>
      <c r="II116" s="1"/>
      <c r="IJ116" s="1"/>
      <c r="IK116" s="1"/>
      <c r="IL116" s="1"/>
      <c r="IM116" s="1"/>
      <c r="IN116" s="1"/>
      <c r="IO116" s="1"/>
      <c r="IP116" s="1"/>
      <c r="IQ116" s="1"/>
      <c r="IR116" s="1"/>
      <c r="IS116" s="1"/>
      <c r="IT116" s="1"/>
      <c r="IU116" s="1"/>
      <c r="IV116" s="1"/>
      <c r="IW116" s="1"/>
      <c r="IX116" s="1"/>
      <c r="IY116" s="1"/>
      <c r="IZ116" s="1"/>
      <c r="JA116" s="1"/>
      <c r="JB116" s="1"/>
      <c r="JC116" s="1"/>
      <c r="JD116" s="1"/>
      <c r="JE116" s="1"/>
      <c r="JF116" s="1"/>
      <c r="JG116" s="1"/>
      <c r="JH116" s="1"/>
      <c r="JI116" s="1"/>
      <c r="JJ116" s="1"/>
      <c r="JK116" s="1"/>
      <c r="JL116" s="1"/>
      <c r="JM116" s="1"/>
      <c r="JN116" s="1"/>
      <c r="JO116" s="1"/>
      <c r="JP116" s="1"/>
      <c r="JQ116" s="1"/>
      <c r="JR116" s="1"/>
      <c r="JS116" s="1"/>
      <c r="JT116" s="1"/>
      <c r="JU116" s="1"/>
      <c r="JV116" s="1"/>
      <c r="JW116" s="1"/>
      <c r="JX116" s="1"/>
      <c r="JY116" s="1"/>
      <c r="JZ116" s="1"/>
      <c r="KA116" s="1"/>
      <c r="KB116" s="1"/>
      <c r="KC116" s="1"/>
      <c r="KD116" s="1"/>
      <c r="KE116" s="1"/>
      <c r="KF116" s="1"/>
      <c r="KG116" s="1"/>
      <c r="KH116" s="1"/>
      <c r="KI116" s="1"/>
      <c r="KJ116" s="1"/>
      <c r="KK116" s="1"/>
      <c r="KL116" s="1"/>
      <c r="KM116" s="1"/>
      <c r="KN116" s="1"/>
      <c r="KO116" s="1"/>
      <c r="KP116" s="1"/>
      <c r="KQ116" s="1"/>
    </row>
    <row r="117" spans="1:303" s="5" customFormat="1" ht="409.5" x14ac:dyDescent="0.2">
      <c r="A117" s="354" t="s">
        <v>79</v>
      </c>
      <c r="B117" s="354" t="s">
        <v>80</v>
      </c>
      <c r="C117" s="354" t="s">
        <v>81</v>
      </c>
      <c r="D117" s="354" t="s">
        <v>82</v>
      </c>
      <c r="E117" s="354" t="s">
        <v>83</v>
      </c>
      <c r="F117" s="354" t="s">
        <v>84</v>
      </c>
      <c r="G117" s="354" t="s">
        <v>85</v>
      </c>
      <c r="H117" s="354" t="s">
        <v>640</v>
      </c>
      <c r="I117" s="354" t="s">
        <v>681</v>
      </c>
      <c r="J117" s="354" t="s">
        <v>752</v>
      </c>
      <c r="K117" s="348" t="s">
        <v>878</v>
      </c>
      <c r="L117" s="348" t="s">
        <v>652</v>
      </c>
      <c r="M117" s="686" t="s">
        <v>916</v>
      </c>
      <c r="N117" s="361" t="s">
        <v>444</v>
      </c>
      <c r="O117" s="361" t="s">
        <v>445</v>
      </c>
      <c r="P117" s="922">
        <v>39542136.277533107</v>
      </c>
      <c r="Q117" s="364" t="s">
        <v>654</v>
      </c>
      <c r="R117" s="364" t="s">
        <v>213</v>
      </c>
      <c r="S117" s="385">
        <v>1</v>
      </c>
      <c r="T117" s="354" t="s">
        <v>917</v>
      </c>
      <c r="U117" s="355" t="s">
        <v>918</v>
      </c>
      <c r="V117" s="348" t="s">
        <v>98</v>
      </c>
      <c r="W117" s="355" t="s">
        <v>919</v>
      </c>
      <c r="X117" s="430">
        <v>0.1</v>
      </c>
      <c r="Y117" s="430">
        <v>0.3</v>
      </c>
      <c r="Z117" s="430">
        <v>0.3</v>
      </c>
      <c r="AA117" s="431">
        <v>0.3</v>
      </c>
      <c r="AB117" s="525">
        <v>5.88</v>
      </c>
      <c r="AC117" s="413">
        <v>1.3333333333333333</v>
      </c>
      <c r="AD117" s="413">
        <v>0.3320261176470588</v>
      </c>
      <c r="AE117" s="413">
        <v>0.36666666666666664</v>
      </c>
      <c r="AF117" s="692">
        <f t="shared" si="57"/>
        <v>0.1</v>
      </c>
      <c r="AG117" s="693" t="s">
        <v>100</v>
      </c>
      <c r="AH117" s="698">
        <f>425/425</f>
        <v>1</v>
      </c>
      <c r="AI117" s="697" t="s">
        <v>920</v>
      </c>
      <c r="AJ117" s="693"/>
      <c r="AK117" s="693" t="str">
        <f>+IF(AND(AH117&gt;=0%,AH117&lt;=60%),"BAJO",IF(AND(AH117&gt;=61%,AH117&lt;=80%),"MEDIO","ALTO"))</f>
        <v>ALTO</v>
      </c>
      <c r="AL117" s="692">
        <f t="shared" si="77"/>
        <v>0.1</v>
      </c>
      <c r="AM117" s="695" t="s">
        <v>246</v>
      </c>
      <c r="AN117" s="693">
        <f t="shared" si="78"/>
        <v>0.58799999999999997</v>
      </c>
      <c r="AO117" s="693">
        <f t="shared" si="79"/>
        <v>0.13333333333333333</v>
      </c>
      <c r="AP117" s="693">
        <f t="shared" si="80"/>
        <v>3.3202611764705882E-2</v>
      </c>
      <c r="AQ117" s="693"/>
      <c r="AR117" s="401">
        <f t="shared" si="58"/>
        <v>0.3</v>
      </c>
      <c r="AS117" s="402" t="s">
        <v>100</v>
      </c>
      <c r="AT117" s="405">
        <f>665/665</f>
        <v>1</v>
      </c>
      <c r="AU117" s="627" t="s">
        <v>921</v>
      </c>
      <c r="AV117" s="553"/>
      <c r="AW117" s="729" t="str">
        <f t="shared" si="81"/>
        <v>ALTO</v>
      </c>
      <c r="AX117" s="397">
        <f t="shared" si="82"/>
        <v>0.3</v>
      </c>
      <c r="AY117" s="400" t="s">
        <v>246</v>
      </c>
      <c r="AZ117" s="398">
        <f t="shared" si="83"/>
        <v>1.764</v>
      </c>
      <c r="BA117" s="398">
        <f t="shared" si="84"/>
        <v>0.39999999999999997</v>
      </c>
      <c r="BB117" s="398">
        <f t="shared" si="85"/>
        <v>9.9607835294117639E-2</v>
      </c>
      <c r="BC117" s="15"/>
      <c r="BD117" s="14">
        <f t="shared" si="86"/>
        <v>0.3</v>
      </c>
      <c r="BE117" s="764" t="s">
        <v>100</v>
      </c>
      <c r="BF117" s="768">
        <v>0</v>
      </c>
      <c r="BG117" s="767" t="s">
        <v>885</v>
      </c>
      <c r="BH117" s="767" t="s">
        <v>885</v>
      </c>
      <c r="BI117" s="658" t="str">
        <f t="shared" si="63"/>
        <v>BAJO</v>
      </c>
      <c r="BJ117" s="681">
        <f t="shared" si="87"/>
        <v>0</v>
      </c>
      <c r="BK117" s="647" t="s">
        <v>922</v>
      </c>
      <c r="BL117" s="682">
        <f t="shared" si="64"/>
        <v>0</v>
      </c>
      <c r="BM117" s="682">
        <f t="shared" si="65"/>
        <v>0</v>
      </c>
      <c r="BN117" s="682">
        <f t="shared" si="66"/>
        <v>0</v>
      </c>
      <c r="BO117" s="658"/>
      <c r="BP117" s="853">
        <f t="shared" si="76"/>
        <v>0.3</v>
      </c>
      <c r="BQ117" s="854" t="s">
        <v>105</v>
      </c>
      <c r="BR117" s="873">
        <f>100/100</f>
        <v>1</v>
      </c>
      <c r="BS117" s="874" t="s">
        <v>923</v>
      </c>
      <c r="BT117" s="872"/>
      <c r="BU117" s="905" t="str">
        <f t="shared" si="88"/>
        <v>ALTO</v>
      </c>
      <c r="BV117" s="875">
        <f t="shared" si="89"/>
        <v>0.3</v>
      </c>
      <c r="BW117" s="874" t="s">
        <v>888</v>
      </c>
      <c r="BX117" s="857">
        <f t="shared" si="67"/>
        <v>1.764</v>
      </c>
      <c r="BY117" s="857">
        <f t="shared" si="68"/>
        <v>0.39999999999999997</v>
      </c>
      <c r="BZ117" s="857">
        <f t="shared" si="69"/>
        <v>9.9607835294117639E-2</v>
      </c>
      <c r="CA117" s="857">
        <f t="shared" si="70"/>
        <v>0.10999999999999999</v>
      </c>
      <c r="CB117" s="16">
        <f t="shared" si="71"/>
        <v>0.6</v>
      </c>
      <c r="CC117" s="16">
        <f t="shared" si="72"/>
        <v>0.4</v>
      </c>
      <c r="CD117" s="16">
        <f t="shared" si="74"/>
        <v>1</v>
      </c>
      <c r="CE117" s="16">
        <f t="shared" si="75"/>
        <v>0.7</v>
      </c>
      <c r="CF117" s="16" t="e">
        <f>SUM(#REF!/(CC117+CB117))</f>
        <v>#REF!</v>
      </c>
      <c r="CG117" s="17"/>
      <c r="CH117" s="17"/>
      <c r="CI117" s="17"/>
      <c r="CJ117" s="17"/>
      <c r="CK117" s="1"/>
      <c r="CL117" s="1"/>
      <c r="CM117" s="1"/>
      <c r="CN117" s="1"/>
      <c r="CO117" s="1"/>
      <c r="CP117" s="1"/>
      <c r="CQ117" s="1"/>
      <c r="CR117" s="1"/>
      <c r="CS117" s="1"/>
      <c r="CT117" s="1"/>
      <c r="CU117" s="1"/>
      <c r="CV117" s="346">
        <f t="shared" si="73"/>
        <v>1</v>
      </c>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c r="FM117" s="1"/>
      <c r="FN117" s="1"/>
      <c r="FO117" s="1"/>
      <c r="FP117" s="1"/>
      <c r="FQ117" s="1"/>
      <c r="FR117" s="1"/>
      <c r="FS117" s="1"/>
      <c r="FT117" s="1"/>
      <c r="FU117" s="1"/>
      <c r="FV117" s="1"/>
      <c r="FW117" s="1"/>
      <c r="FX117" s="1"/>
      <c r="FY117" s="1"/>
      <c r="FZ117" s="1"/>
      <c r="GA117" s="1"/>
      <c r="GB117" s="1"/>
      <c r="GC117" s="1"/>
      <c r="GD117" s="1"/>
      <c r="GE117" s="1"/>
      <c r="GF117" s="1"/>
      <c r="GG117" s="1"/>
      <c r="GH117" s="1"/>
      <c r="GI117" s="1"/>
      <c r="GJ117" s="1"/>
      <c r="GK117" s="1"/>
      <c r="GL117" s="1"/>
      <c r="GM117" s="1"/>
      <c r="GN117" s="1"/>
      <c r="GO117" s="1"/>
      <c r="GP117" s="1"/>
      <c r="GQ117" s="1"/>
      <c r="GR117" s="1"/>
      <c r="GS117" s="1"/>
      <c r="GT117" s="1"/>
      <c r="GU117" s="1"/>
      <c r="GV117" s="1"/>
      <c r="GW117" s="1"/>
      <c r="GX117" s="1"/>
      <c r="GY117" s="1"/>
      <c r="GZ117" s="1"/>
      <c r="HA117" s="1"/>
      <c r="HB117" s="1"/>
      <c r="HC117" s="1"/>
      <c r="HD117" s="1"/>
      <c r="HE117" s="1"/>
      <c r="HF117" s="1"/>
      <c r="HG117" s="1"/>
      <c r="HH117" s="1"/>
      <c r="HI117" s="1"/>
      <c r="HJ117" s="1"/>
      <c r="HK117" s="1"/>
      <c r="HL117" s="1"/>
      <c r="HM117" s="1"/>
      <c r="HN117" s="1"/>
      <c r="HO117" s="1"/>
      <c r="HP117" s="1"/>
      <c r="HQ117" s="1"/>
      <c r="HR117" s="1"/>
      <c r="HS117" s="1"/>
      <c r="HT117" s="1"/>
      <c r="HU117" s="1"/>
      <c r="HV117" s="1"/>
      <c r="HW117" s="1"/>
      <c r="HX117" s="1"/>
      <c r="HY117" s="1"/>
      <c r="HZ117" s="1"/>
      <c r="IA117" s="1"/>
      <c r="IB117" s="1"/>
      <c r="IC117" s="1"/>
      <c r="ID117" s="1"/>
      <c r="IE117" s="1"/>
      <c r="IF117" s="1"/>
      <c r="IG117" s="1"/>
      <c r="IH117" s="1"/>
      <c r="II117" s="1"/>
      <c r="IJ117" s="1"/>
      <c r="IK117" s="1"/>
      <c r="IL117" s="1"/>
      <c r="IM117" s="1"/>
      <c r="IN117" s="1"/>
      <c r="IO117" s="1"/>
      <c r="IP117" s="1"/>
      <c r="IQ117" s="1"/>
      <c r="IR117" s="1"/>
      <c r="IS117" s="1"/>
      <c r="IT117" s="1"/>
      <c r="IU117" s="1"/>
      <c r="IV117" s="1"/>
      <c r="IW117" s="1"/>
      <c r="IX117" s="1"/>
      <c r="IY117" s="1"/>
      <c r="IZ117" s="1"/>
      <c r="JA117" s="1"/>
      <c r="JB117" s="1"/>
      <c r="JC117" s="1"/>
      <c r="JD117" s="1"/>
      <c r="JE117" s="1"/>
      <c r="JF117" s="1"/>
      <c r="JG117" s="1"/>
      <c r="JH117" s="1"/>
      <c r="JI117" s="1"/>
      <c r="JJ117" s="1"/>
      <c r="JK117" s="1"/>
      <c r="JL117" s="1"/>
      <c r="JM117" s="1"/>
      <c r="JN117" s="1"/>
      <c r="JO117" s="1"/>
      <c r="JP117" s="1"/>
      <c r="JQ117" s="1"/>
      <c r="JR117" s="1"/>
      <c r="JS117" s="1"/>
      <c r="JT117" s="1"/>
      <c r="JU117" s="1"/>
      <c r="JV117" s="1"/>
      <c r="JW117" s="1"/>
      <c r="JX117" s="1"/>
      <c r="JY117" s="1"/>
      <c r="JZ117" s="1"/>
      <c r="KA117" s="1"/>
      <c r="KB117" s="1"/>
      <c r="KC117" s="1"/>
      <c r="KD117" s="1"/>
      <c r="KE117" s="1"/>
      <c r="KF117" s="1"/>
      <c r="KG117" s="1"/>
      <c r="KH117" s="1"/>
      <c r="KI117" s="1"/>
      <c r="KJ117" s="1"/>
      <c r="KK117" s="1"/>
      <c r="KL117" s="1"/>
      <c r="KM117" s="1"/>
      <c r="KN117" s="1"/>
      <c r="KO117" s="1"/>
      <c r="KP117" s="1"/>
      <c r="KQ117" s="1"/>
    </row>
    <row r="118" spans="1:303" s="5" customFormat="1" ht="283.5" customHeight="1" x14ac:dyDescent="0.2">
      <c r="A118" s="354" t="s">
        <v>79</v>
      </c>
      <c r="B118" s="354" t="s">
        <v>80</v>
      </c>
      <c r="C118" s="354" t="s">
        <v>81</v>
      </c>
      <c r="D118" s="354" t="s">
        <v>82</v>
      </c>
      <c r="E118" s="354" t="s">
        <v>83</v>
      </c>
      <c r="F118" s="354" t="s">
        <v>84</v>
      </c>
      <c r="G118" s="354" t="s">
        <v>85</v>
      </c>
      <c r="H118" s="354" t="s">
        <v>640</v>
      </c>
      <c r="I118" s="354" t="s">
        <v>681</v>
      </c>
      <c r="J118" s="354" t="s">
        <v>752</v>
      </c>
      <c r="K118" s="348" t="s">
        <v>878</v>
      </c>
      <c r="L118" s="348" t="s">
        <v>652</v>
      </c>
      <c r="M118" s="686" t="s">
        <v>924</v>
      </c>
      <c r="N118" s="361" t="s">
        <v>444</v>
      </c>
      <c r="O118" s="361" t="s">
        <v>445</v>
      </c>
      <c r="P118" s="923">
        <v>2802500000</v>
      </c>
      <c r="Q118" s="364" t="s">
        <v>654</v>
      </c>
      <c r="R118" s="364" t="s">
        <v>213</v>
      </c>
      <c r="S118" s="360">
        <v>4</v>
      </c>
      <c r="T118" s="355" t="s">
        <v>925</v>
      </c>
      <c r="U118" s="355" t="s">
        <v>926</v>
      </c>
      <c r="V118" s="348" t="s">
        <v>119</v>
      </c>
      <c r="W118" s="355" t="s">
        <v>927</v>
      </c>
      <c r="X118" s="430">
        <v>0</v>
      </c>
      <c r="Y118" s="430">
        <v>0.25</v>
      </c>
      <c r="Z118" s="430">
        <v>0.5</v>
      </c>
      <c r="AA118" s="431">
        <v>0.25</v>
      </c>
      <c r="AB118" s="525">
        <v>5.88</v>
      </c>
      <c r="AC118" s="413">
        <v>1.3333333333333333</v>
      </c>
      <c r="AD118" s="413">
        <v>0.3320261176470588</v>
      </c>
      <c r="AE118" s="413">
        <v>0.36666666666666664</v>
      </c>
      <c r="AF118" s="692">
        <f t="shared" si="57"/>
        <v>0</v>
      </c>
      <c r="AG118" s="693" t="s">
        <v>146</v>
      </c>
      <c r="AH118" s="709"/>
      <c r="AI118" s="697"/>
      <c r="AJ118" s="693"/>
      <c r="AK118" s="693"/>
      <c r="AL118" s="692">
        <f t="shared" si="77"/>
        <v>0</v>
      </c>
      <c r="AM118" s="695" t="s">
        <v>246</v>
      </c>
      <c r="AN118" s="693">
        <f t="shared" si="78"/>
        <v>0</v>
      </c>
      <c r="AO118" s="693">
        <f t="shared" si="79"/>
        <v>0</v>
      </c>
      <c r="AP118" s="693">
        <f t="shared" si="80"/>
        <v>0</v>
      </c>
      <c r="AQ118" s="693"/>
      <c r="AR118" s="401">
        <f t="shared" si="58"/>
        <v>0.25</v>
      </c>
      <c r="AS118" s="402" t="s">
        <v>100</v>
      </c>
      <c r="AT118" s="405">
        <v>0</v>
      </c>
      <c r="AU118" s="627" t="s">
        <v>928</v>
      </c>
      <c r="AV118" s="553"/>
      <c r="AW118" s="729" t="str">
        <f t="shared" si="81"/>
        <v>BAJO</v>
      </c>
      <c r="AX118" s="397">
        <f t="shared" si="82"/>
        <v>0</v>
      </c>
      <c r="AY118" s="400" t="s">
        <v>929</v>
      </c>
      <c r="AZ118" s="398">
        <f t="shared" si="83"/>
        <v>0</v>
      </c>
      <c r="BA118" s="398">
        <f t="shared" si="84"/>
        <v>0</v>
      </c>
      <c r="BB118" s="398">
        <f t="shared" si="85"/>
        <v>0</v>
      </c>
      <c r="BC118" s="15"/>
      <c r="BD118" s="14">
        <f t="shared" si="86"/>
        <v>0.5</v>
      </c>
      <c r="BE118" s="764" t="s">
        <v>100</v>
      </c>
      <c r="BF118" s="765">
        <v>0.5</v>
      </c>
      <c r="BG118" s="766" t="s">
        <v>930</v>
      </c>
      <c r="BH118" s="767" t="s">
        <v>885</v>
      </c>
      <c r="BI118" s="658" t="str">
        <f t="shared" si="63"/>
        <v>BAJO</v>
      </c>
      <c r="BJ118" s="681">
        <f t="shared" si="87"/>
        <v>0.25</v>
      </c>
      <c r="BK118" s="647" t="s">
        <v>931</v>
      </c>
      <c r="BL118" s="682">
        <f t="shared" si="64"/>
        <v>4.2517006802721087E-2</v>
      </c>
      <c r="BM118" s="682">
        <f t="shared" si="65"/>
        <v>0.1875</v>
      </c>
      <c r="BN118" s="682">
        <f t="shared" si="66"/>
        <v>0.75295281519313506</v>
      </c>
      <c r="BO118" s="658"/>
      <c r="BP118" s="853">
        <f t="shared" si="76"/>
        <v>0.25</v>
      </c>
      <c r="BQ118" s="854" t="s">
        <v>105</v>
      </c>
      <c r="BR118" s="873">
        <f>50/100</f>
        <v>0.5</v>
      </c>
      <c r="BS118" s="874" t="s">
        <v>932</v>
      </c>
      <c r="BT118" s="872"/>
      <c r="BU118" s="907" t="str">
        <f t="shared" si="88"/>
        <v>BAJO</v>
      </c>
      <c r="BV118" s="875">
        <f t="shared" si="89"/>
        <v>0.125</v>
      </c>
      <c r="BW118" s="874" t="s">
        <v>933</v>
      </c>
      <c r="BX118" s="857">
        <f t="shared" si="67"/>
        <v>0.73499999999999999</v>
      </c>
      <c r="BY118" s="857">
        <f t="shared" si="68"/>
        <v>0.16666666666666666</v>
      </c>
      <c r="BZ118" s="857">
        <f t="shared" si="69"/>
        <v>4.1503264705882351E-2</v>
      </c>
      <c r="CA118" s="857">
        <f t="shared" si="70"/>
        <v>4.583333333333333E-2</v>
      </c>
      <c r="CB118" s="16">
        <f t="shared" si="71"/>
        <v>0.75</v>
      </c>
      <c r="CC118" s="16">
        <f t="shared" si="72"/>
        <v>0.25</v>
      </c>
      <c r="CD118" s="16">
        <f t="shared" si="74"/>
        <v>1</v>
      </c>
      <c r="CE118" s="16">
        <f t="shared" si="75"/>
        <v>0.375</v>
      </c>
      <c r="CF118" s="16" t="e">
        <f>SUM(#REF!/(CC118+CB118))</f>
        <v>#REF!</v>
      </c>
      <c r="CG118" s="17"/>
      <c r="CH118" s="17"/>
      <c r="CI118" s="17"/>
      <c r="CJ118" s="17"/>
      <c r="CK118" s="1"/>
      <c r="CL118" s="1"/>
      <c r="CM118" s="1"/>
      <c r="CN118" s="1"/>
      <c r="CO118" s="1"/>
      <c r="CP118" s="1"/>
      <c r="CQ118" s="1"/>
      <c r="CR118" s="1"/>
      <c r="CS118" s="1"/>
      <c r="CT118" s="1"/>
      <c r="CU118" s="1"/>
      <c r="CV118" s="346">
        <f t="shared" si="73"/>
        <v>1</v>
      </c>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c r="GF118" s="1"/>
      <c r="GG118" s="1"/>
      <c r="GH118" s="1"/>
      <c r="GI118" s="1"/>
      <c r="GJ118" s="1"/>
      <c r="GK118" s="1"/>
      <c r="GL118" s="1"/>
      <c r="GM118" s="1"/>
      <c r="GN118" s="1"/>
      <c r="GO118" s="1"/>
      <c r="GP118" s="1"/>
      <c r="GQ118" s="1"/>
      <c r="GR118" s="1"/>
      <c r="GS118" s="1"/>
      <c r="GT118" s="1"/>
      <c r="GU118" s="1"/>
      <c r="GV118" s="1"/>
      <c r="GW118" s="1"/>
      <c r="GX118" s="1"/>
      <c r="GY118" s="1"/>
      <c r="GZ118" s="1"/>
      <c r="HA118" s="1"/>
      <c r="HB118" s="1"/>
      <c r="HC118" s="1"/>
      <c r="HD118" s="1"/>
      <c r="HE118" s="1"/>
      <c r="HF118" s="1"/>
      <c r="HG118" s="1"/>
      <c r="HH118" s="1"/>
      <c r="HI118" s="1"/>
      <c r="HJ118" s="1"/>
      <c r="HK118" s="1"/>
      <c r="HL118" s="1"/>
      <c r="HM118" s="1"/>
      <c r="HN118" s="1"/>
      <c r="HO118" s="1"/>
      <c r="HP118" s="1"/>
      <c r="HQ118" s="1"/>
      <c r="HR118" s="1"/>
      <c r="HS118" s="1"/>
      <c r="HT118" s="1"/>
      <c r="HU118" s="1"/>
      <c r="HV118" s="1"/>
      <c r="HW118" s="1"/>
      <c r="HX118" s="1"/>
      <c r="HY118" s="1"/>
      <c r="HZ118" s="1"/>
      <c r="IA118" s="1"/>
      <c r="IB118" s="1"/>
      <c r="IC118" s="1"/>
      <c r="ID118" s="1"/>
      <c r="IE118" s="1"/>
      <c r="IF118" s="1"/>
      <c r="IG118" s="1"/>
      <c r="IH118" s="1"/>
      <c r="II118" s="1"/>
      <c r="IJ118" s="1"/>
      <c r="IK118" s="1"/>
      <c r="IL118" s="1"/>
      <c r="IM118" s="1"/>
      <c r="IN118" s="1"/>
      <c r="IO118" s="1"/>
      <c r="IP118" s="1"/>
      <c r="IQ118" s="1"/>
      <c r="IR118" s="1"/>
      <c r="IS118" s="1"/>
      <c r="IT118" s="1"/>
      <c r="IU118" s="1"/>
      <c r="IV118" s="1"/>
      <c r="IW118" s="1"/>
      <c r="IX118" s="1"/>
      <c r="IY118" s="1"/>
      <c r="IZ118" s="1"/>
      <c r="JA118" s="1"/>
      <c r="JB118" s="1"/>
      <c r="JC118" s="1"/>
      <c r="JD118" s="1"/>
      <c r="JE118" s="1"/>
      <c r="JF118" s="1"/>
      <c r="JG118" s="1"/>
      <c r="JH118" s="1"/>
      <c r="JI118" s="1"/>
      <c r="JJ118" s="1"/>
      <c r="JK118" s="1"/>
      <c r="JL118" s="1"/>
      <c r="JM118" s="1"/>
      <c r="JN118" s="1"/>
      <c r="JO118" s="1"/>
      <c r="JP118" s="1"/>
      <c r="JQ118" s="1"/>
      <c r="JR118" s="1"/>
      <c r="JS118" s="1"/>
      <c r="JT118" s="1"/>
      <c r="JU118" s="1"/>
      <c r="JV118" s="1"/>
      <c r="JW118" s="1"/>
      <c r="JX118" s="1"/>
      <c r="JY118" s="1"/>
      <c r="JZ118" s="1"/>
      <c r="KA118" s="1"/>
      <c r="KB118" s="1"/>
      <c r="KC118" s="1"/>
      <c r="KD118" s="1"/>
      <c r="KE118" s="1"/>
      <c r="KF118" s="1"/>
      <c r="KG118" s="1"/>
      <c r="KH118" s="1"/>
      <c r="KI118" s="1"/>
      <c r="KJ118" s="1"/>
      <c r="KK118" s="1"/>
      <c r="KL118" s="1"/>
      <c r="KM118" s="1"/>
      <c r="KN118" s="1"/>
      <c r="KO118" s="1"/>
      <c r="KP118" s="1"/>
      <c r="KQ118" s="1"/>
    </row>
    <row r="119" spans="1:303" s="5" customFormat="1" ht="106.5" customHeight="1" x14ac:dyDescent="0.2">
      <c r="A119" s="354" t="s">
        <v>79</v>
      </c>
      <c r="B119" s="354" t="s">
        <v>80</v>
      </c>
      <c r="C119" s="354" t="s">
        <v>81</v>
      </c>
      <c r="D119" s="354" t="s">
        <v>82</v>
      </c>
      <c r="E119" s="354" t="s">
        <v>83</v>
      </c>
      <c r="F119" s="354" t="s">
        <v>84</v>
      </c>
      <c r="G119" s="354" t="s">
        <v>85</v>
      </c>
      <c r="H119" s="354" t="s">
        <v>640</v>
      </c>
      <c r="I119" s="354" t="s">
        <v>681</v>
      </c>
      <c r="J119" s="354" t="s">
        <v>752</v>
      </c>
      <c r="K119" s="348" t="s">
        <v>878</v>
      </c>
      <c r="L119" s="348" t="s">
        <v>652</v>
      </c>
      <c r="M119" s="686" t="s">
        <v>934</v>
      </c>
      <c r="N119" s="361" t="s">
        <v>541</v>
      </c>
      <c r="O119" s="361" t="s">
        <v>154</v>
      </c>
      <c r="P119" s="922">
        <v>39542136.277533107</v>
      </c>
      <c r="Q119" s="364" t="s">
        <v>654</v>
      </c>
      <c r="R119" s="364" t="s">
        <v>213</v>
      </c>
      <c r="S119" s="387">
        <v>1</v>
      </c>
      <c r="T119" s="355" t="s">
        <v>935</v>
      </c>
      <c r="U119" s="355" t="s">
        <v>936</v>
      </c>
      <c r="V119" s="348" t="s">
        <v>119</v>
      </c>
      <c r="W119" s="355" t="s">
        <v>937</v>
      </c>
      <c r="X119" s="430">
        <v>0</v>
      </c>
      <c r="Y119" s="430">
        <v>0.33</v>
      </c>
      <c r="Z119" s="430">
        <v>0.33</v>
      </c>
      <c r="AA119" s="431">
        <v>0.34</v>
      </c>
      <c r="AB119" s="525">
        <v>5.88</v>
      </c>
      <c r="AC119" s="413">
        <v>1.3333333333333333</v>
      </c>
      <c r="AD119" s="413">
        <v>0.3320261176470588</v>
      </c>
      <c r="AE119" s="413">
        <v>0.36666666666666664</v>
      </c>
      <c r="AF119" s="692">
        <f t="shared" si="57"/>
        <v>0</v>
      </c>
      <c r="AG119" s="693" t="s">
        <v>146</v>
      </c>
      <c r="AH119" s="709"/>
      <c r="AI119" s="697"/>
      <c r="AJ119" s="693"/>
      <c r="AK119" s="693"/>
      <c r="AL119" s="692">
        <f t="shared" si="77"/>
        <v>0</v>
      </c>
      <c r="AM119" s="695" t="s">
        <v>246</v>
      </c>
      <c r="AN119" s="693">
        <f t="shared" si="78"/>
        <v>0</v>
      </c>
      <c r="AO119" s="693">
        <f t="shared" si="79"/>
        <v>0</v>
      </c>
      <c r="AP119" s="693">
        <f t="shared" si="80"/>
        <v>0</v>
      </c>
      <c r="AQ119" s="693"/>
      <c r="AR119" s="401">
        <f t="shared" si="58"/>
        <v>0.33</v>
      </c>
      <c r="AS119" s="402" t="s">
        <v>100</v>
      </c>
      <c r="AT119" s="405">
        <v>0</v>
      </c>
      <c r="AU119" s="627" t="s">
        <v>938</v>
      </c>
      <c r="AV119" s="553"/>
      <c r="AW119" s="729" t="str">
        <f t="shared" si="81"/>
        <v>BAJO</v>
      </c>
      <c r="AX119" s="397">
        <f t="shared" si="82"/>
        <v>0</v>
      </c>
      <c r="AY119" s="400" t="s">
        <v>939</v>
      </c>
      <c r="AZ119" s="398">
        <f t="shared" si="83"/>
        <v>0</v>
      </c>
      <c r="BA119" s="398">
        <f t="shared" si="84"/>
        <v>0</v>
      </c>
      <c r="BB119" s="398">
        <f t="shared" si="85"/>
        <v>0</v>
      </c>
      <c r="BC119" s="15"/>
      <c r="BD119" s="14">
        <f t="shared" si="86"/>
        <v>0.33</v>
      </c>
      <c r="BE119" s="764" t="s">
        <v>100</v>
      </c>
      <c r="BF119" s="765">
        <v>0</v>
      </c>
      <c r="BG119" s="766" t="s">
        <v>940</v>
      </c>
      <c r="BH119" s="767" t="s">
        <v>885</v>
      </c>
      <c r="BI119" s="658" t="str">
        <f t="shared" si="63"/>
        <v>BAJO</v>
      </c>
      <c r="BJ119" s="681">
        <f t="shared" si="87"/>
        <v>0</v>
      </c>
      <c r="BK119" s="647" t="s">
        <v>941</v>
      </c>
      <c r="BL119" s="682">
        <f t="shared" si="64"/>
        <v>0</v>
      </c>
      <c r="BM119" s="682">
        <f t="shared" si="65"/>
        <v>0</v>
      </c>
      <c r="BN119" s="682">
        <f t="shared" si="66"/>
        <v>0</v>
      </c>
      <c r="BO119" s="658"/>
      <c r="BP119" s="853">
        <f t="shared" si="76"/>
        <v>0.34</v>
      </c>
      <c r="BQ119" s="854" t="s">
        <v>105</v>
      </c>
      <c r="BR119" s="873">
        <v>0</v>
      </c>
      <c r="BS119" s="874" t="s">
        <v>942</v>
      </c>
      <c r="BT119" s="872"/>
      <c r="BU119" s="907" t="str">
        <f t="shared" si="88"/>
        <v>BAJO</v>
      </c>
      <c r="BV119" s="875">
        <f t="shared" si="89"/>
        <v>0</v>
      </c>
      <c r="BW119" s="874" t="s">
        <v>943</v>
      </c>
      <c r="BX119" s="857">
        <f t="shared" si="67"/>
        <v>0</v>
      </c>
      <c r="BY119" s="857">
        <f t="shared" si="68"/>
        <v>0</v>
      </c>
      <c r="BZ119" s="857">
        <f t="shared" si="69"/>
        <v>0</v>
      </c>
      <c r="CA119" s="857">
        <f t="shared" si="70"/>
        <v>0</v>
      </c>
      <c r="CB119" s="16">
        <f t="shared" si="71"/>
        <v>0.67</v>
      </c>
      <c r="CC119" s="16">
        <f t="shared" si="72"/>
        <v>0.33</v>
      </c>
      <c r="CD119" s="16">
        <f t="shared" si="74"/>
        <v>1</v>
      </c>
      <c r="CE119" s="16">
        <f t="shared" si="75"/>
        <v>0</v>
      </c>
      <c r="CF119" s="16" t="e">
        <f>SUM(#REF!/(CC119+CB119))</f>
        <v>#REF!</v>
      </c>
      <c r="CG119" s="17"/>
      <c r="CH119" s="17"/>
      <c r="CI119" s="17"/>
      <c r="CJ119" s="17"/>
      <c r="CK119" s="1"/>
      <c r="CL119" s="1"/>
      <c r="CM119" s="1"/>
      <c r="CN119" s="1"/>
      <c r="CO119" s="1"/>
      <c r="CP119" s="1"/>
      <c r="CQ119" s="1"/>
      <c r="CR119" s="1"/>
      <c r="CS119" s="1"/>
      <c r="CT119" s="1"/>
      <c r="CU119" s="1"/>
      <c r="CV119" s="346">
        <f t="shared" si="73"/>
        <v>1</v>
      </c>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c r="GF119" s="1"/>
      <c r="GG119" s="1"/>
      <c r="GH119" s="1"/>
      <c r="GI119" s="1"/>
      <c r="GJ119" s="1"/>
      <c r="GK119" s="1"/>
      <c r="GL119" s="1"/>
      <c r="GM119" s="1"/>
      <c r="GN119" s="1"/>
      <c r="GO119" s="1"/>
      <c r="GP119" s="1"/>
      <c r="GQ119" s="1"/>
      <c r="GR119" s="1"/>
      <c r="GS119" s="1"/>
      <c r="GT119" s="1"/>
      <c r="GU119" s="1"/>
      <c r="GV119" s="1"/>
      <c r="GW119" s="1"/>
      <c r="GX119" s="1"/>
      <c r="GY119" s="1"/>
      <c r="GZ119" s="1"/>
      <c r="HA119" s="1"/>
      <c r="HB119" s="1"/>
      <c r="HC119" s="1"/>
      <c r="HD119" s="1"/>
      <c r="HE119" s="1"/>
      <c r="HF119" s="1"/>
      <c r="HG119" s="1"/>
      <c r="HH119" s="1"/>
      <c r="HI119" s="1"/>
      <c r="HJ119" s="1"/>
      <c r="HK119" s="1"/>
      <c r="HL119" s="1"/>
      <c r="HM119" s="1"/>
      <c r="HN119" s="1"/>
      <c r="HO119" s="1"/>
      <c r="HP119" s="1"/>
      <c r="HQ119" s="1"/>
      <c r="HR119" s="1"/>
      <c r="HS119" s="1"/>
      <c r="HT119" s="1"/>
      <c r="HU119" s="1"/>
      <c r="HV119" s="1"/>
      <c r="HW119" s="1"/>
      <c r="HX119" s="1"/>
      <c r="HY119" s="1"/>
      <c r="HZ119" s="1"/>
      <c r="IA119" s="1"/>
      <c r="IB119" s="1"/>
      <c r="IC119" s="1"/>
      <c r="ID119" s="1"/>
      <c r="IE119" s="1"/>
      <c r="IF119" s="1"/>
      <c r="IG119" s="1"/>
      <c r="IH119" s="1"/>
      <c r="II119" s="1"/>
      <c r="IJ119" s="1"/>
      <c r="IK119" s="1"/>
      <c r="IL119" s="1"/>
      <c r="IM119" s="1"/>
      <c r="IN119" s="1"/>
      <c r="IO119" s="1"/>
      <c r="IP119" s="1"/>
      <c r="IQ119" s="1"/>
      <c r="IR119" s="1"/>
      <c r="IS119" s="1"/>
      <c r="IT119" s="1"/>
      <c r="IU119" s="1"/>
      <c r="IV119" s="1"/>
      <c r="IW119" s="1"/>
      <c r="IX119" s="1"/>
      <c r="IY119" s="1"/>
      <c r="IZ119" s="1"/>
      <c r="JA119" s="1"/>
      <c r="JB119" s="1"/>
      <c r="JC119" s="1"/>
      <c r="JD119" s="1"/>
      <c r="JE119" s="1"/>
      <c r="JF119" s="1"/>
      <c r="JG119" s="1"/>
      <c r="JH119" s="1"/>
      <c r="JI119" s="1"/>
      <c r="JJ119" s="1"/>
      <c r="JK119" s="1"/>
      <c r="JL119" s="1"/>
      <c r="JM119" s="1"/>
      <c r="JN119" s="1"/>
      <c r="JO119" s="1"/>
      <c r="JP119" s="1"/>
      <c r="JQ119" s="1"/>
      <c r="JR119" s="1"/>
      <c r="JS119" s="1"/>
      <c r="JT119" s="1"/>
      <c r="JU119" s="1"/>
      <c r="JV119" s="1"/>
      <c r="JW119" s="1"/>
      <c r="JX119" s="1"/>
      <c r="JY119" s="1"/>
      <c r="JZ119" s="1"/>
      <c r="KA119" s="1"/>
      <c r="KB119" s="1"/>
      <c r="KC119" s="1"/>
      <c r="KD119" s="1"/>
      <c r="KE119" s="1"/>
      <c r="KF119" s="1"/>
      <c r="KG119" s="1"/>
      <c r="KH119" s="1"/>
      <c r="KI119" s="1"/>
      <c r="KJ119" s="1"/>
      <c r="KK119" s="1"/>
      <c r="KL119" s="1"/>
      <c r="KM119" s="1"/>
      <c r="KN119" s="1"/>
      <c r="KO119" s="1"/>
      <c r="KP119" s="1"/>
      <c r="KQ119" s="1"/>
    </row>
    <row r="120" spans="1:303" s="5" customFormat="1" ht="65.099999999999994" customHeight="1" x14ac:dyDescent="0.2">
      <c r="A120" s="354" t="s">
        <v>79</v>
      </c>
      <c r="B120" s="354" t="s">
        <v>80</v>
      </c>
      <c r="C120" s="354" t="s">
        <v>81</v>
      </c>
      <c r="D120" s="354" t="s">
        <v>82</v>
      </c>
      <c r="E120" s="354" t="s">
        <v>83</v>
      </c>
      <c r="F120" s="354" t="s">
        <v>84</v>
      </c>
      <c r="G120" s="354" t="s">
        <v>85</v>
      </c>
      <c r="H120" s="354" t="s">
        <v>640</v>
      </c>
      <c r="I120" s="354" t="s">
        <v>681</v>
      </c>
      <c r="J120" s="354" t="s">
        <v>752</v>
      </c>
      <c r="K120" s="348" t="s">
        <v>878</v>
      </c>
      <c r="L120" s="348" t="s">
        <v>652</v>
      </c>
      <c r="M120" s="686" t="s">
        <v>944</v>
      </c>
      <c r="N120" s="361" t="s">
        <v>444</v>
      </c>
      <c r="O120" s="361" t="s">
        <v>445</v>
      </c>
      <c r="P120" s="922">
        <v>39542136.277533107</v>
      </c>
      <c r="Q120" s="364" t="s">
        <v>654</v>
      </c>
      <c r="R120" s="364" t="s">
        <v>213</v>
      </c>
      <c r="S120" s="360">
        <v>11</v>
      </c>
      <c r="T120" s="355" t="s">
        <v>945</v>
      </c>
      <c r="U120" s="355" t="s">
        <v>946</v>
      </c>
      <c r="V120" s="348" t="s">
        <v>119</v>
      </c>
      <c r="W120" s="355" t="s">
        <v>947</v>
      </c>
      <c r="X120" s="430">
        <v>0.1</v>
      </c>
      <c r="Y120" s="430">
        <v>0.3</v>
      </c>
      <c r="Z120" s="430">
        <v>0.3</v>
      </c>
      <c r="AA120" s="431">
        <v>0.3</v>
      </c>
      <c r="AB120" s="525">
        <v>5.88</v>
      </c>
      <c r="AC120" s="413">
        <v>1.3333333333333333</v>
      </c>
      <c r="AD120" s="413">
        <v>0.3320261176470588</v>
      </c>
      <c r="AE120" s="413">
        <v>0.36666666666666664</v>
      </c>
      <c r="AF120" s="692">
        <f t="shared" si="57"/>
        <v>0.1</v>
      </c>
      <c r="AG120" s="693" t="s">
        <v>100</v>
      </c>
      <c r="AH120" s="698">
        <f>19/19</f>
        <v>1</v>
      </c>
      <c r="AI120" s="697" t="s">
        <v>948</v>
      </c>
      <c r="AJ120" s="693"/>
      <c r="AK120" s="693" t="str">
        <f>+IF(AND(AH120&gt;=0%,AH120&lt;=60%),"BAJO",IF(AND(AH120&gt;=61%,AH120&lt;=80%),"MEDIO","ALTO"))</f>
        <v>ALTO</v>
      </c>
      <c r="AL120" s="692">
        <f t="shared" si="77"/>
        <v>0.1</v>
      </c>
      <c r="AM120" s="695" t="s">
        <v>246</v>
      </c>
      <c r="AN120" s="693">
        <f t="shared" si="78"/>
        <v>0.58799999999999997</v>
      </c>
      <c r="AO120" s="693">
        <f t="shared" si="79"/>
        <v>0.13333333333333333</v>
      </c>
      <c r="AP120" s="693">
        <f t="shared" si="80"/>
        <v>3.3202611764705882E-2</v>
      </c>
      <c r="AQ120" s="693"/>
      <c r="AR120" s="401">
        <f t="shared" si="58"/>
        <v>0.3</v>
      </c>
      <c r="AS120" s="402" t="s">
        <v>100</v>
      </c>
      <c r="AT120" s="405">
        <f>21/21</f>
        <v>1</v>
      </c>
      <c r="AU120" s="637" t="s">
        <v>949</v>
      </c>
      <c r="AV120" s="554"/>
      <c r="AW120" s="729" t="str">
        <f t="shared" si="81"/>
        <v>ALTO</v>
      </c>
      <c r="AX120" s="397">
        <f t="shared" si="82"/>
        <v>0.3</v>
      </c>
      <c r="AY120" s="400" t="s">
        <v>246</v>
      </c>
      <c r="AZ120" s="398">
        <f t="shared" si="83"/>
        <v>1.764</v>
      </c>
      <c r="BA120" s="398">
        <f t="shared" si="84"/>
        <v>0.39999999999999997</v>
      </c>
      <c r="BB120" s="398">
        <f t="shared" si="85"/>
        <v>9.9607835294117639E-2</v>
      </c>
      <c r="BC120" s="15"/>
      <c r="BD120" s="14">
        <f t="shared" si="86"/>
        <v>0.3</v>
      </c>
      <c r="BE120" s="764" t="s">
        <v>100</v>
      </c>
      <c r="BF120" s="765">
        <f>3/3</f>
        <v>1</v>
      </c>
      <c r="BG120" s="766" t="s">
        <v>950</v>
      </c>
      <c r="BH120" s="767" t="s">
        <v>885</v>
      </c>
      <c r="BI120" s="658" t="str">
        <f t="shared" si="63"/>
        <v>ALTO</v>
      </c>
      <c r="BJ120" s="681">
        <f t="shared" si="87"/>
        <v>0.3</v>
      </c>
      <c r="BK120" s="647" t="s">
        <v>951</v>
      </c>
      <c r="BL120" s="682">
        <f t="shared" si="64"/>
        <v>5.1020408163265307E-2</v>
      </c>
      <c r="BM120" s="682">
        <f t="shared" si="65"/>
        <v>0.22500000000000001</v>
      </c>
      <c r="BN120" s="682">
        <f t="shared" si="66"/>
        <v>0.90354337823176212</v>
      </c>
      <c r="BO120" s="658"/>
      <c r="BP120" s="853">
        <f t="shared" si="76"/>
        <v>0.3</v>
      </c>
      <c r="BQ120" s="854" t="s">
        <v>105</v>
      </c>
      <c r="BR120" s="873">
        <f>100/100</f>
        <v>1</v>
      </c>
      <c r="BS120" s="874" t="s">
        <v>952</v>
      </c>
      <c r="BT120" s="872"/>
      <c r="BU120" s="905" t="str">
        <f t="shared" si="88"/>
        <v>ALTO</v>
      </c>
      <c r="BV120" s="875">
        <f t="shared" si="89"/>
        <v>0.3</v>
      </c>
      <c r="BW120" s="874" t="s">
        <v>888</v>
      </c>
      <c r="BX120" s="857">
        <f t="shared" si="67"/>
        <v>1.764</v>
      </c>
      <c r="BY120" s="857">
        <f t="shared" si="68"/>
        <v>0.39999999999999997</v>
      </c>
      <c r="BZ120" s="857">
        <f t="shared" si="69"/>
        <v>9.9607835294117639E-2</v>
      </c>
      <c r="CA120" s="857">
        <f t="shared" si="70"/>
        <v>0.10999999999999999</v>
      </c>
      <c r="CB120" s="16">
        <f t="shared" si="71"/>
        <v>0.6</v>
      </c>
      <c r="CC120" s="16">
        <f t="shared" si="72"/>
        <v>0.4</v>
      </c>
      <c r="CD120" s="16">
        <f t="shared" si="74"/>
        <v>1</v>
      </c>
      <c r="CE120" s="16">
        <f t="shared" si="75"/>
        <v>1</v>
      </c>
      <c r="CF120" s="16" t="e">
        <f>SUM(#REF!/(CC120+CB120))</f>
        <v>#REF!</v>
      </c>
      <c r="CG120" s="17"/>
      <c r="CH120" s="17"/>
      <c r="CI120" s="17"/>
      <c r="CJ120" s="17"/>
      <c r="CK120" s="1"/>
      <c r="CL120" s="1"/>
      <c r="CM120" s="1"/>
      <c r="CN120" s="1"/>
      <c r="CO120" s="1"/>
      <c r="CP120" s="1"/>
      <c r="CQ120" s="1"/>
      <c r="CR120" s="1"/>
      <c r="CS120" s="1"/>
      <c r="CT120" s="1"/>
      <c r="CU120" s="1"/>
      <c r="CV120" s="346">
        <f t="shared" si="73"/>
        <v>1</v>
      </c>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c r="GF120" s="1"/>
      <c r="GG120" s="1"/>
      <c r="GH120" s="1"/>
      <c r="GI120" s="1"/>
      <c r="GJ120" s="1"/>
      <c r="GK120" s="1"/>
      <c r="GL120" s="1"/>
      <c r="GM120" s="1"/>
      <c r="GN120" s="1"/>
      <c r="GO120" s="1"/>
      <c r="GP120" s="1"/>
      <c r="GQ120" s="1"/>
      <c r="GR120" s="1"/>
      <c r="GS120" s="1"/>
      <c r="GT120" s="1"/>
      <c r="GU120" s="1"/>
      <c r="GV120" s="1"/>
      <c r="GW120" s="1"/>
      <c r="GX120" s="1"/>
      <c r="GY120" s="1"/>
      <c r="GZ120" s="1"/>
      <c r="HA120" s="1"/>
      <c r="HB120" s="1"/>
      <c r="HC120" s="1"/>
      <c r="HD120" s="1"/>
      <c r="HE120" s="1"/>
      <c r="HF120" s="1"/>
      <c r="HG120" s="1"/>
      <c r="HH120" s="1"/>
      <c r="HI120" s="1"/>
      <c r="HJ120" s="1"/>
      <c r="HK120" s="1"/>
      <c r="HL120" s="1"/>
      <c r="HM120" s="1"/>
      <c r="HN120" s="1"/>
      <c r="HO120" s="1"/>
      <c r="HP120" s="1"/>
      <c r="HQ120" s="1"/>
      <c r="HR120" s="1"/>
      <c r="HS120" s="1"/>
      <c r="HT120" s="1"/>
      <c r="HU120" s="1"/>
      <c r="HV120" s="1"/>
      <c r="HW120" s="1"/>
      <c r="HX120" s="1"/>
      <c r="HY120" s="1"/>
      <c r="HZ120" s="1"/>
      <c r="IA120" s="1"/>
      <c r="IB120" s="1"/>
      <c r="IC120" s="1"/>
      <c r="ID120" s="1"/>
      <c r="IE120" s="1"/>
      <c r="IF120" s="1"/>
      <c r="IG120" s="1"/>
      <c r="IH120" s="1"/>
      <c r="II120" s="1"/>
      <c r="IJ120" s="1"/>
      <c r="IK120" s="1"/>
      <c r="IL120" s="1"/>
      <c r="IM120" s="1"/>
      <c r="IN120" s="1"/>
      <c r="IO120" s="1"/>
      <c r="IP120" s="1"/>
      <c r="IQ120" s="1"/>
      <c r="IR120" s="1"/>
      <c r="IS120" s="1"/>
      <c r="IT120" s="1"/>
      <c r="IU120" s="1"/>
      <c r="IV120" s="1"/>
      <c r="IW120" s="1"/>
      <c r="IX120" s="1"/>
      <c r="IY120" s="1"/>
      <c r="IZ120" s="1"/>
      <c r="JA120" s="1"/>
      <c r="JB120" s="1"/>
      <c r="JC120" s="1"/>
      <c r="JD120" s="1"/>
      <c r="JE120" s="1"/>
      <c r="JF120" s="1"/>
      <c r="JG120" s="1"/>
      <c r="JH120" s="1"/>
      <c r="JI120" s="1"/>
      <c r="JJ120" s="1"/>
      <c r="JK120" s="1"/>
      <c r="JL120" s="1"/>
      <c r="JM120" s="1"/>
      <c r="JN120" s="1"/>
      <c r="JO120" s="1"/>
      <c r="JP120" s="1"/>
      <c r="JQ120" s="1"/>
      <c r="JR120" s="1"/>
      <c r="JS120" s="1"/>
      <c r="JT120" s="1"/>
      <c r="JU120" s="1"/>
      <c r="JV120" s="1"/>
      <c r="JW120" s="1"/>
      <c r="JX120" s="1"/>
      <c r="JY120" s="1"/>
      <c r="JZ120" s="1"/>
      <c r="KA120" s="1"/>
      <c r="KB120" s="1"/>
      <c r="KC120" s="1"/>
      <c r="KD120" s="1"/>
      <c r="KE120" s="1"/>
      <c r="KF120" s="1"/>
      <c r="KG120" s="1"/>
      <c r="KH120" s="1"/>
      <c r="KI120" s="1"/>
      <c r="KJ120" s="1"/>
      <c r="KK120" s="1"/>
      <c r="KL120" s="1"/>
      <c r="KM120" s="1"/>
      <c r="KN120" s="1"/>
      <c r="KO120" s="1"/>
      <c r="KP120" s="1"/>
      <c r="KQ120" s="1"/>
    </row>
    <row r="121" spans="1:303" s="1" customFormat="1" ht="65.099999999999994" customHeight="1" x14ac:dyDescent="0.2">
      <c r="A121" s="354" t="s">
        <v>79</v>
      </c>
      <c r="B121" s="354" t="s">
        <v>80</v>
      </c>
      <c r="C121" s="354" t="s">
        <v>81</v>
      </c>
      <c r="D121" s="354" t="s">
        <v>82</v>
      </c>
      <c r="E121" s="354" t="s">
        <v>83</v>
      </c>
      <c r="F121" s="354" t="s">
        <v>84</v>
      </c>
      <c r="G121" s="354" t="s">
        <v>85</v>
      </c>
      <c r="H121" s="354" t="s">
        <v>640</v>
      </c>
      <c r="I121" s="354" t="s">
        <v>681</v>
      </c>
      <c r="J121" s="354" t="s">
        <v>752</v>
      </c>
      <c r="K121" s="348" t="s">
        <v>878</v>
      </c>
      <c r="L121" s="348" t="s">
        <v>652</v>
      </c>
      <c r="M121" s="686" t="s">
        <v>953</v>
      </c>
      <c r="N121" s="361" t="s">
        <v>541</v>
      </c>
      <c r="O121" s="361" t="s">
        <v>154</v>
      </c>
      <c r="P121" s="922">
        <v>39542136.277533107</v>
      </c>
      <c r="Q121" s="364" t="s">
        <v>654</v>
      </c>
      <c r="R121" s="364" t="s">
        <v>213</v>
      </c>
      <c r="S121" s="388">
        <v>11</v>
      </c>
      <c r="T121" s="354" t="s">
        <v>954</v>
      </c>
      <c r="U121" s="348" t="s">
        <v>946</v>
      </c>
      <c r="V121" s="348" t="s">
        <v>119</v>
      </c>
      <c r="W121" s="355" t="s">
        <v>955</v>
      </c>
      <c r="X121" s="430">
        <v>0.1</v>
      </c>
      <c r="Y121" s="430">
        <v>0.3</v>
      </c>
      <c r="Z121" s="430">
        <v>0.3</v>
      </c>
      <c r="AA121" s="431">
        <v>0.3</v>
      </c>
      <c r="AB121" s="525">
        <v>5.88</v>
      </c>
      <c r="AC121" s="413">
        <v>1.3333333333333333</v>
      </c>
      <c r="AD121" s="413">
        <v>0.3320261176470588</v>
      </c>
      <c r="AE121" s="413">
        <v>0.36666666666666664</v>
      </c>
      <c r="AF121" s="692">
        <f t="shared" si="57"/>
        <v>0.1</v>
      </c>
      <c r="AG121" s="693" t="s">
        <v>100</v>
      </c>
      <c r="AH121" s="698">
        <f>1/1</f>
        <v>1</v>
      </c>
      <c r="AI121" s="697" t="s">
        <v>956</v>
      </c>
      <c r="AJ121" s="693"/>
      <c r="AK121" s="693" t="str">
        <f>+IF(AND(AH121&gt;=0%,AH121&lt;=60%),"BAJO",IF(AND(AH121&gt;=61%,AH121&lt;=80%),"MEDIO","ALTO"))</f>
        <v>ALTO</v>
      </c>
      <c r="AL121" s="692">
        <f t="shared" si="77"/>
        <v>0.1</v>
      </c>
      <c r="AM121" s="695" t="s">
        <v>246</v>
      </c>
      <c r="AN121" s="693">
        <f t="shared" si="78"/>
        <v>0.58799999999999997</v>
      </c>
      <c r="AO121" s="693">
        <f t="shared" si="79"/>
        <v>0.13333333333333333</v>
      </c>
      <c r="AP121" s="693">
        <f t="shared" si="80"/>
        <v>3.3202611764705882E-2</v>
      </c>
      <c r="AQ121" s="693"/>
      <c r="AR121" s="401">
        <f t="shared" si="58"/>
        <v>0.3</v>
      </c>
      <c r="AS121" s="402" t="s">
        <v>100</v>
      </c>
      <c r="AT121" s="405">
        <v>1</v>
      </c>
      <c r="AU121" s="627" t="s">
        <v>957</v>
      </c>
      <c r="AV121" s="553"/>
      <c r="AW121" s="729" t="str">
        <f t="shared" si="81"/>
        <v>ALTO</v>
      </c>
      <c r="AX121" s="397">
        <f t="shared" si="82"/>
        <v>0.3</v>
      </c>
      <c r="AY121" s="400" t="s">
        <v>246</v>
      </c>
      <c r="AZ121" s="398">
        <f t="shared" si="83"/>
        <v>1.764</v>
      </c>
      <c r="BA121" s="398">
        <f t="shared" si="84"/>
        <v>0.39999999999999997</v>
      </c>
      <c r="BB121" s="398">
        <f t="shared" si="85"/>
        <v>9.9607835294117639E-2</v>
      </c>
      <c r="BC121" s="15"/>
      <c r="BD121" s="14">
        <f t="shared" si="86"/>
        <v>0.3</v>
      </c>
      <c r="BE121" s="764" t="s">
        <v>100</v>
      </c>
      <c r="BF121" s="765">
        <f>3/3</f>
        <v>1</v>
      </c>
      <c r="BG121" s="766" t="s">
        <v>958</v>
      </c>
      <c r="BH121" s="767" t="s">
        <v>885</v>
      </c>
      <c r="BI121" s="658" t="str">
        <f t="shared" si="63"/>
        <v>ALTO</v>
      </c>
      <c r="BJ121" s="681">
        <f t="shared" si="87"/>
        <v>0.3</v>
      </c>
      <c r="BK121" s="647" t="s">
        <v>959</v>
      </c>
      <c r="BL121" s="682">
        <f t="shared" si="64"/>
        <v>5.1020408163265307E-2</v>
      </c>
      <c r="BM121" s="682">
        <f t="shared" si="65"/>
        <v>0.22500000000000001</v>
      </c>
      <c r="BN121" s="682">
        <f t="shared" si="66"/>
        <v>0.90354337823176212</v>
      </c>
      <c r="BO121" s="658"/>
      <c r="BP121" s="853">
        <f t="shared" si="76"/>
        <v>0.3</v>
      </c>
      <c r="BQ121" s="854" t="s">
        <v>105</v>
      </c>
      <c r="BR121" s="873">
        <f>100/100</f>
        <v>1</v>
      </c>
      <c r="BS121" s="874" t="s">
        <v>960</v>
      </c>
      <c r="BT121" s="872"/>
      <c r="BU121" s="905" t="str">
        <f t="shared" si="88"/>
        <v>ALTO</v>
      </c>
      <c r="BV121" s="875">
        <f t="shared" si="89"/>
        <v>0.3</v>
      </c>
      <c r="BW121" s="874" t="s">
        <v>888</v>
      </c>
      <c r="BX121" s="857">
        <f t="shared" si="67"/>
        <v>1.764</v>
      </c>
      <c r="BY121" s="857">
        <f t="shared" si="68"/>
        <v>0.39999999999999997</v>
      </c>
      <c r="BZ121" s="857">
        <f t="shared" si="69"/>
        <v>9.9607835294117639E-2</v>
      </c>
      <c r="CA121" s="857">
        <f t="shared" si="70"/>
        <v>0.10999999999999999</v>
      </c>
      <c r="CB121" s="16">
        <f t="shared" si="71"/>
        <v>0.6</v>
      </c>
      <c r="CC121" s="16">
        <f t="shared" si="72"/>
        <v>0.4</v>
      </c>
      <c r="CD121" s="16">
        <f t="shared" si="74"/>
        <v>1</v>
      </c>
      <c r="CE121" s="16">
        <f t="shared" si="75"/>
        <v>1</v>
      </c>
      <c r="CF121" s="16" t="e">
        <f>SUM(#REF!/(CC121+CB121))</f>
        <v>#REF!</v>
      </c>
      <c r="CG121" s="17"/>
      <c r="CH121" s="17"/>
      <c r="CI121" s="17"/>
      <c r="CJ121" s="17"/>
      <c r="CV121" s="346">
        <f t="shared" ref="CV121:CV135" si="90">SUM(X121:AA121)</f>
        <v>1</v>
      </c>
    </row>
    <row r="122" spans="1:303" s="1" customFormat="1" ht="65.099999999999994" customHeight="1" x14ac:dyDescent="0.2">
      <c r="A122" s="354" t="s">
        <v>79</v>
      </c>
      <c r="B122" s="354" t="s">
        <v>80</v>
      </c>
      <c r="C122" s="354" t="s">
        <v>81</v>
      </c>
      <c r="D122" s="354" t="s">
        <v>82</v>
      </c>
      <c r="E122" s="354" t="s">
        <v>83</v>
      </c>
      <c r="F122" s="354" t="s">
        <v>84</v>
      </c>
      <c r="G122" s="354" t="s">
        <v>85</v>
      </c>
      <c r="H122" s="354" t="s">
        <v>640</v>
      </c>
      <c r="I122" s="354" t="s">
        <v>681</v>
      </c>
      <c r="J122" s="354" t="s">
        <v>752</v>
      </c>
      <c r="K122" s="348" t="s">
        <v>878</v>
      </c>
      <c r="L122" s="348" t="s">
        <v>652</v>
      </c>
      <c r="M122" s="686" t="s">
        <v>961</v>
      </c>
      <c r="N122" s="361" t="s">
        <v>444</v>
      </c>
      <c r="O122" s="361" t="s">
        <v>445</v>
      </c>
      <c r="P122" s="922">
        <v>39542136.277533107</v>
      </c>
      <c r="Q122" s="364" t="s">
        <v>654</v>
      </c>
      <c r="R122" s="364" t="s">
        <v>213</v>
      </c>
      <c r="S122" s="360">
        <v>9</v>
      </c>
      <c r="T122" s="355" t="s">
        <v>962</v>
      </c>
      <c r="U122" s="355" t="s">
        <v>963</v>
      </c>
      <c r="V122" s="348" t="s">
        <v>119</v>
      </c>
      <c r="W122" s="355" t="s">
        <v>964</v>
      </c>
      <c r="X122" s="430">
        <v>0</v>
      </c>
      <c r="Y122" s="430">
        <v>0.33</v>
      </c>
      <c r="Z122" s="430">
        <v>0.33</v>
      </c>
      <c r="AA122" s="431">
        <v>0.34</v>
      </c>
      <c r="AB122" s="525">
        <v>5.88</v>
      </c>
      <c r="AC122" s="413">
        <v>1.3333333333333333</v>
      </c>
      <c r="AD122" s="413">
        <v>0.3320261176470588</v>
      </c>
      <c r="AE122" s="413">
        <v>0.36666666666666664</v>
      </c>
      <c r="AF122" s="692">
        <f t="shared" ref="AF122:AF185" si="91">X122</f>
        <v>0</v>
      </c>
      <c r="AG122" s="693" t="s">
        <v>146</v>
      </c>
      <c r="AH122" s="709"/>
      <c r="AI122" s="693"/>
      <c r="AJ122" s="693"/>
      <c r="AK122" s="693"/>
      <c r="AL122" s="692">
        <f t="shared" si="77"/>
        <v>0</v>
      </c>
      <c r="AM122" s="697" t="s">
        <v>121</v>
      </c>
      <c r="AN122" s="693">
        <f t="shared" si="78"/>
        <v>0</v>
      </c>
      <c r="AO122" s="693">
        <f t="shared" si="79"/>
        <v>0</v>
      </c>
      <c r="AP122" s="693">
        <f t="shared" si="80"/>
        <v>0</v>
      </c>
      <c r="AQ122" s="693"/>
      <c r="AR122" s="401">
        <f t="shared" ref="AR122:AR185" si="92">Y122</f>
        <v>0.33</v>
      </c>
      <c r="AS122" s="402" t="s">
        <v>100</v>
      </c>
      <c r="AT122" s="405">
        <f>3/3</f>
        <v>1</v>
      </c>
      <c r="AU122" s="627" t="s">
        <v>965</v>
      </c>
      <c r="AV122" s="553"/>
      <c r="AW122" s="729" t="str">
        <f t="shared" si="81"/>
        <v>ALTO</v>
      </c>
      <c r="AX122" s="397">
        <f t="shared" si="82"/>
        <v>0.33</v>
      </c>
      <c r="AY122" s="400" t="s">
        <v>246</v>
      </c>
      <c r="AZ122" s="398">
        <f t="shared" si="83"/>
        <v>1.9404000000000001</v>
      </c>
      <c r="BA122" s="398">
        <f t="shared" si="84"/>
        <v>0.44</v>
      </c>
      <c r="BB122" s="398">
        <f t="shared" si="85"/>
        <v>0.1095686188235294</v>
      </c>
      <c r="BC122" s="15"/>
      <c r="BD122" s="14">
        <f t="shared" si="86"/>
        <v>0.33</v>
      </c>
      <c r="BE122" s="764" t="s">
        <v>100</v>
      </c>
      <c r="BF122" s="765">
        <f>3/3</f>
        <v>1</v>
      </c>
      <c r="BG122" s="766" t="s">
        <v>966</v>
      </c>
      <c r="BH122" s="767" t="s">
        <v>885</v>
      </c>
      <c r="BI122" s="658" t="str">
        <f t="shared" si="63"/>
        <v>ALTO</v>
      </c>
      <c r="BJ122" s="681">
        <f t="shared" si="87"/>
        <v>0.33</v>
      </c>
      <c r="BK122" s="647" t="s">
        <v>967</v>
      </c>
      <c r="BL122" s="682">
        <f t="shared" si="64"/>
        <v>5.6122448979591844E-2</v>
      </c>
      <c r="BM122" s="682">
        <f t="shared" si="65"/>
        <v>0.24750000000000003</v>
      </c>
      <c r="BN122" s="682">
        <f t="shared" si="66"/>
        <v>0.99389771605493837</v>
      </c>
      <c r="BO122" s="658"/>
      <c r="BP122" s="853">
        <f t="shared" si="76"/>
        <v>0.34</v>
      </c>
      <c r="BQ122" s="854" t="s">
        <v>105</v>
      </c>
      <c r="BR122" s="873">
        <f>80/100</f>
        <v>0.8</v>
      </c>
      <c r="BS122" s="874" t="s">
        <v>968</v>
      </c>
      <c r="BT122" s="872"/>
      <c r="BU122" s="906" t="str">
        <f t="shared" si="88"/>
        <v>MEDIO</v>
      </c>
      <c r="BV122" s="875">
        <f t="shared" si="89"/>
        <v>0.27200000000000002</v>
      </c>
      <c r="BW122" s="874" t="s">
        <v>969</v>
      </c>
      <c r="BX122" s="857">
        <f t="shared" si="67"/>
        <v>1.5993600000000001</v>
      </c>
      <c r="BY122" s="857">
        <f t="shared" si="68"/>
        <v>0.36266666666666669</v>
      </c>
      <c r="BZ122" s="857">
        <f t="shared" si="69"/>
        <v>9.0311104000000003E-2</v>
      </c>
      <c r="CA122" s="857">
        <f t="shared" si="70"/>
        <v>9.9733333333333327E-2</v>
      </c>
      <c r="CB122" s="16">
        <f t="shared" si="71"/>
        <v>0.67</v>
      </c>
      <c r="CC122" s="16">
        <f t="shared" si="72"/>
        <v>0.33</v>
      </c>
      <c r="CD122" s="16">
        <f t="shared" si="74"/>
        <v>1</v>
      </c>
      <c r="CE122" s="16">
        <f t="shared" si="75"/>
        <v>0.93200000000000005</v>
      </c>
      <c r="CF122" s="16" t="e">
        <f>SUM(#REF!/(CC122+CB122))</f>
        <v>#REF!</v>
      </c>
      <c r="CG122" s="17"/>
      <c r="CH122" s="17"/>
      <c r="CI122" s="17"/>
      <c r="CJ122" s="17"/>
      <c r="CV122" s="346">
        <f t="shared" si="90"/>
        <v>1</v>
      </c>
    </row>
    <row r="123" spans="1:303" s="1" customFormat="1" ht="147" customHeight="1" x14ac:dyDescent="0.2">
      <c r="A123" s="356" t="s">
        <v>79</v>
      </c>
      <c r="B123" s="356" t="s">
        <v>80</v>
      </c>
      <c r="C123" s="356" t="s">
        <v>81</v>
      </c>
      <c r="D123" s="356" t="s">
        <v>82</v>
      </c>
      <c r="E123" s="356" t="s">
        <v>83</v>
      </c>
      <c r="F123" s="356" t="s">
        <v>84</v>
      </c>
      <c r="G123" s="356" t="s">
        <v>85</v>
      </c>
      <c r="H123" s="356" t="s">
        <v>86</v>
      </c>
      <c r="I123" s="356" t="s">
        <v>87</v>
      </c>
      <c r="J123" s="356" t="s">
        <v>152</v>
      </c>
      <c r="K123" s="357" t="s">
        <v>878</v>
      </c>
      <c r="L123" s="357" t="s">
        <v>652</v>
      </c>
      <c r="M123" s="357" t="s">
        <v>153</v>
      </c>
      <c r="N123" s="367" t="s">
        <v>91</v>
      </c>
      <c r="O123" s="367" t="s">
        <v>154</v>
      </c>
      <c r="P123" s="930">
        <v>39542136.277533107</v>
      </c>
      <c r="Q123" s="368" t="s">
        <v>654</v>
      </c>
      <c r="R123" s="357" t="s">
        <v>156</v>
      </c>
      <c r="S123" s="357">
        <v>3</v>
      </c>
      <c r="T123" s="369" t="s">
        <v>157</v>
      </c>
      <c r="U123" s="357" t="s">
        <v>158</v>
      </c>
      <c r="V123" s="370" t="s">
        <v>98</v>
      </c>
      <c r="W123" s="497" t="s">
        <v>159</v>
      </c>
      <c r="X123" s="432">
        <v>0</v>
      </c>
      <c r="Y123" s="432">
        <v>0.34</v>
      </c>
      <c r="Z123" s="432">
        <v>0.33</v>
      </c>
      <c r="AA123" s="444">
        <v>0.33</v>
      </c>
      <c r="AB123" s="525">
        <v>5.88</v>
      </c>
      <c r="AC123" s="413">
        <v>1.3333333333333333</v>
      </c>
      <c r="AD123" s="413">
        <v>0.3320261176470588</v>
      </c>
      <c r="AE123" s="413">
        <v>0.37727272727272726</v>
      </c>
      <c r="AF123" s="692">
        <f t="shared" si="91"/>
        <v>0</v>
      </c>
      <c r="AG123" s="693" t="s">
        <v>146</v>
      </c>
      <c r="AH123" s="709"/>
      <c r="AI123" s="693"/>
      <c r="AJ123" s="693"/>
      <c r="AK123" s="693"/>
      <c r="AL123" s="692">
        <f t="shared" si="77"/>
        <v>0</v>
      </c>
      <c r="AM123" s="697" t="s">
        <v>121</v>
      </c>
      <c r="AN123" s="693">
        <f t="shared" si="78"/>
        <v>0</v>
      </c>
      <c r="AO123" s="693">
        <f t="shared" si="79"/>
        <v>0</v>
      </c>
      <c r="AP123" s="693">
        <f t="shared" si="80"/>
        <v>0</v>
      </c>
      <c r="AQ123" s="693"/>
      <c r="AR123" s="401">
        <f t="shared" si="92"/>
        <v>0.34</v>
      </c>
      <c r="AS123" s="402" t="s">
        <v>100</v>
      </c>
      <c r="AT123" s="405">
        <f>1/1</f>
        <v>1</v>
      </c>
      <c r="AU123" s="627" t="s">
        <v>970</v>
      </c>
      <c r="AV123" s="553"/>
      <c r="AW123" s="729" t="str">
        <f t="shared" si="81"/>
        <v>ALTO</v>
      </c>
      <c r="AX123" s="397">
        <f t="shared" si="82"/>
        <v>0.34</v>
      </c>
      <c r="AY123" s="400" t="s">
        <v>246</v>
      </c>
      <c r="AZ123" s="398">
        <f t="shared" si="83"/>
        <v>1.9992000000000001</v>
      </c>
      <c r="BA123" s="398">
        <f t="shared" si="84"/>
        <v>0.45333333333333337</v>
      </c>
      <c r="BB123" s="398">
        <f t="shared" si="85"/>
        <v>0.11288888</v>
      </c>
      <c r="BC123" s="15"/>
      <c r="BD123" s="14">
        <f t="shared" si="86"/>
        <v>0.33</v>
      </c>
      <c r="BE123" s="764" t="s">
        <v>100</v>
      </c>
      <c r="BF123" s="765">
        <v>0</v>
      </c>
      <c r="BG123" s="766" t="s">
        <v>970</v>
      </c>
      <c r="BH123" s="767" t="s">
        <v>885</v>
      </c>
      <c r="BI123" s="658" t="str">
        <f t="shared" si="63"/>
        <v>BAJO</v>
      </c>
      <c r="BJ123" s="681">
        <f t="shared" si="87"/>
        <v>0</v>
      </c>
      <c r="BK123" s="647" t="s">
        <v>971</v>
      </c>
      <c r="BL123" s="682">
        <f t="shared" si="64"/>
        <v>0</v>
      </c>
      <c r="BM123" s="682">
        <f t="shared" si="65"/>
        <v>0</v>
      </c>
      <c r="BN123" s="682">
        <f t="shared" si="66"/>
        <v>0</v>
      </c>
      <c r="BO123" s="658"/>
      <c r="BP123" s="853">
        <f t="shared" si="76"/>
        <v>0.33</v>
      </c>
      <c r="BQ123" s="854" t="s">
        <v>105</v>
      </c>
      <c r="BR123" s="873">
        <v>1</v>
      </c>
      <c r="BS123" s="874" t="s">
        <v>970</v>
      </c>
      <c r="BT123" s="872"/>
      <c r="BU123" s="905" t="str">
        <f t="shared" si="88"/>
        <v>ALTO</v>
      </c>
      <c r="BV123" s="875">
        <f t="shared" si="89"/>
        <v>0.33</v>
      </c>
      <c r="BW123" s="859" t="s">
        <v>336</v>
      </c>
      <c r="BX123" s="857">
        <f t="shared" si="67"/>
        <v>1.9404000000000001</v>
      </c>
      <c r="BY123" s="857">
        <f t="shared" si="68"/>
        <v>0.44</v>
      </c>
      <c r="BZ123" s="857">
        <f t="shared" si="69"/>
        <v>0.1095686188235294</v>
      </c>
      <c r="CA123" s="857">
        <f t="shared" si="70"/>
        <v>0.1245</v>
      </c>
      <c r="CB123" s="16">
        <f t="shared" si="71"/>
        <v>0.66</v>
      </c>
      <c r="CC123" s="16">
        <f t="shared" si="72"/>
        <v>0.34</v>
      </c>
      <c r="CD123" s="16">
        <f t="shared" si="74"/>
        <v>1</v>
      </c>
      <c r="CE123" s="16">
        <f t="shared" si="75"/>
        <v>0.67</v>
      </c>
      <c r="CF123" s="16" t="e">
        <f>SUM(#REF!/(CC123+CB123))</f>
        <v>#REF!</v>
      </c>
      <c r="CG123" s="17"/>
      <c r="CH123" s="17"/>
      <c r="CI123" s="17"/>
      <c r="CJ123" s="17"/>
      <c r="CK123" s="3" t="s">
        <v>165</v>
      </c>
      <c r="CV123" s="346">
        <f t="shared" si="90"/>
        <v>1</v>
      </c>
    </row>
    <row r="124" spans="1:303" s="1" customFormat="1" ht="114.75" customHeight="1" x14ac:dyDescent="0.2">
      <c r="A124" s="356" t="s">
        <v>79</v>
      </c>
      <c r="B124" s="356" t="s">
        <v>80</v>
      </c>
      <c r="C124" s="356" t="s">
        <v>81</v>
      </c>
      <c r="D124" s="356" t="s">
        <v>82</v>
      </c>
      <c r="E124" s="356" t="s">
        <v>83</v>
      </c>
      <c r="F124" s="356" t="s">
        <v>84</v>
      </c>
      <c r="G124" s="356" t="s">
        <v>85</v>
      </c>
      <c r="H124" s="356" t="s">
        <v>86</v>
      </c>
      <c r="I124" s="356" t="s">
        <v>87</v>
      </c>
      <c r="J124" s="356" t="s">
        <v>152</v>
      </c>
      <c r="K124" s="357" t="s">
        <v>878</v>
      </c>
      <c r="L124" s="357" t="s">
        <v>652</v>
      </c>
      <c r="M124" s="357" t="s">
        <v>166</v>
      </c>
      <c r="N124" s="367" t="s">
        <v>91</v>
      </c>
      <c r="O124" s="367" t="s">
        <v>154</v>
      </c>
      <c r="P124" s="930">
        <v>39542136.277533107</v>
      </c>
      <c r="Q124" s="368" t="s">
        <v>654</v>
      </c>
      <c r="R124" s="357" t="s">
        <v>156</v>
      </c>
      <c r="S124" s="357">
        <v>3</v>
      </c>
      <c r="T124" s="377" t="s">
        <v>167</v>
      </c>
      <c r="U124" s="357" t="s">
        <v>168</v>
      </c>
      <c r="V124" s="357" t="s">
        <v>98</v>
      </c>
      <c r="W124" s="497" t="s">
        <v>616</v>
      </c>
      <c r="X124" s="432">
        <v>0</v>
      </c>
      <c r="Y124" s="432">
        <v>0.34</v>
      </c>
      <c r="Z124" s="432">
        <v>0.33</v>
      </c>
      <c r="AA124" s="444">
        <v>0.33</v>
      </c>
      <c r="AB124" s="525">
        <v>5.88</v>
      </c>
      <c r="AC124" s="413">
        <v>1.3333333333333333</v>
      </c>
      <c r="AD124" s="413">
        <v>0.3320261176470588</v>
      </c>
      <c r="AE124" s="413">
        <v>0.37727272727272726</v>
      </c>
      <c r="AF124" s="692">
        <f t="shared" si="91"/>
        <v>0</v>
      </c>
      <c r="AG124" s="693" t="s">
        <v>146</v>
      </c>
      <c r="AH124" s="709"/>
      <c r="AI124" s="693"/>
      <c r="AJ124" s="693"/>
      <c r="AK124" s="693"/>
      <c r="AL124" s="692">
        <f t="shared" si="77"/>
        <v>0</v>
      </c>
      <c r="AM124" s="697" t="s">
        <v>121</v>
      </c>
      <c r="AN124" s="693">
        <f t="shared" si="78"/>
        <v>0</v>
      </c>
      <c r="AO124" s="693">
        <f t="shared" si="79"/>
        <v>0</v>
      </c>
      <c r="AP124" s="693">
        <f t="shared" si="80"/>
        <v>0</v>
      </c>
      <c r="AQ124" s="693"/>
      <c r="AR124" s="401">
        <f t="shared" si="92"/>
        <v>0.34</v>
      </c>
      <c r="AS124" s="402" t="s">
        <v>100</v>
      </c>
      <c r="AT124" s="405">
        <f>1/1</f>
        <v>1</v>
      </c>
      <c r="AU124" s="627" t="s">
        <v>972</v>
      </c>
      <c r="AV124" s="553"/>
      <c r="AW124" s="729" t="str">
        <f t="shared" si="81"/>
        <v>ALTO</v>
      </c>
      <c r="AX124" s="397">
        <f t="shared" si="82"/>
        <v>0.34</v>
      </c>
      <c r="AY124" s="400" t="s">
        <v>246</v>
      </c>
      <c r="AZ124" s="398">
        <f t="shared" si="83"/>
        <v>1.9992000000000001</v>
      </c>
      <c r="BA124" s="398">
        <f t="shared" si="84"/>
        <v>0.45333333333333337</v>
      </c>
      <c r="BB124" s="398">
        <f t="shared" si="85"/>
        <v>0.11288888</v>
      </c>
      <c r="BC124" s="15"/>
      <c r="BD124" s="14">
        <f t="shared" si="86"/>
        <v>0.33</v>
      </c>
      <c r="BE124" s="764" t="s">
        <v>100</v>
      </c>
      <c r="BF124" s="765">
        <v>0</v>
      </c>
      <c r="BG124" s="766" t="s">
        <v>973</v>
      </c>
      <c r="BH124" s="767" t="s">
        <v>885</v>
      </c>
      <c r="BI124" s="658" t="str">
        <f t="shared" si="63"/>
        <v>BAJO</v>
      </c>
      <c r="BJ124" s="681">
        <f t="shared" si="87"/>
        <v>0</v>
      </c>
      <c r="BK124" s="647" t="s">
        <v>974</v>
      </c>
      <c r="BL124" s="682">
        <f t="shared" si="64"/>
        <v>0</v>
      </c>
      <c r="BM124" s="682">
        <f t="shared" si="65"/>
        <v>0</v>
      </c>
      <c r="BN124" s="682">
        <f t="shared" si="66"/>
        <v>0</v>
      </c>
      <c r="BO124" s="658"/>
      <c r="BP124" s="853">
        <f t="shared" si="76"/>
        <v>0.33</v>
      </c>
      <c r="BQ124" s="854" t="s">
        <v>105</v>
      </c>
      <c r="BR124" s="873">
        <v>0</v>
      </c>
      <c r="BS124" s="874" t="s">
        <v>975</v>
      </c>
      <c r="BT124" s="872"/>
      <c r="BU124" s="907" t="str">
        <f t="shared" si="88"/>
        <v>BAJO</v>
      </c>
      <c r="BV124" s="875">
        <f t="shared" si="89"/>
        <v>0</v>
      </c>
      <c r="BW124" s="862" t="s">
        <v>349</v>
      </c>
      <c r="BX124" s="857">
        <f t="shared" si="67"/>
        <v>0</v>
      </c>
      <c r="BY124" s="857">
        <f t="shared" si="68"/>
        <v>0</v>
      </c>
      <c r="BZ124" s="857">
        <f t="shared" si="69"/>
        <v>0</v>
      </c>
      <c r="CA124" s="857">
        <f t="shared" si="70"/>
        <v>0</v>
      </c>
      <c r="CB124" s="16">
        <f t="shared" si="71"/>
        <v>0.66</v>
      </c>
      <c r="CC124" s="16">
        <f t="shared" si="72"/>
        <v>0.34</v>
      </c>
      <c r="CD124" s="16">
        <f t="shared" si="74"/>
        <v>1</v>
      </c>
      <c r="CE124" s="16">
        <f t="shared" si="75"/>
        <v>0.34</v>
      </c>
      <c r="CF124" s="16" t="e">
        <f>SUM(#REF!/(CC124+CB124))</f>
        <v>#REF!</v>
      </c>
      <c r="CG124" s="17"/>
      <c r="CH124" s="17"/>
      <c r="CI124" s="17"/>
      <c r="CJ124" s="17"/>
      <c r="CK124" s="3" t="s">
        <v>165</v>
      </c>
      <c r="CV124" s="346">
        <f t="shared" si="90"/>
        <v>1</v>
      </c>
    </row>
    <row r="125" spans="1:303" s="1" customFormat="1" ht="65.099999999999994" customHeight="1" x14ac:dyDescent="0.2">
      <c r="A125" s="356" t="s">
        <v>79</v>
      </c>
      <c r="B125" s="356" t="s">
        <v>80</v>
      </c>
      <c r="C125" s="356" t="s">
        <v>81</v>
      </c>
      <c r="D125" s="356" t="s">
        <v>82</v>
      </c>
      <c r="E125" s="356" t="s">
        <v>83</v>
      </c>
      <c r="F125" s="356" t="s">
        <v>84</v>
      </c>
      <c r="G125" s="356" t="s">
        <v>85</v>
      </c>
      <c r="H125" s="356" t="s">
        <v>86</v>
      </c>
      <c r="I125" s="356" t="s">
        <v>87</v>
      </c>
      <c r="J125" s="356" t="s">
        <v>152</v>
      </c>
      <c r="K125" s="357" t="s">
        <v>878</v>
      </c>
      <c r="L125" s="357" t="s">
        <v>652</v>
      </c>
      <c r="M125" s="357" t="s">
        <v>174</v>
      </c>
      <c r="N125" s="367" t="s">
        <v>91</v>
      </c>
      <c r="O125" s="367" t="s">
        <v>154</v>
      </c>
      <c r="P125" s="930">
        <v>39542136.277533107</v>
      </c>
      <c r="Q125" s="368" t="s">
        <v>654</v>
      </c>
      <c r="R125" s="357" t="s">
        <v>156</v>
      </c>
      <c r="S125" s="357">
        <v>3</v>
      </c>
      <c r="T125" s="371" t="s">
        <v>175</v>
      </c>
      <c r="U125" s="357" t="s">
        <v>176</v>
      </c>
      <c r="V125" s="357" t="s">
        <v>98</v>
      </c>
      <c r="W125" s="497" t="s">
        <v>159</v>
      </c>
      <c r="X125" s="432">
        <v>0</v>
      </c>
      <c r="Y125" s="432">
        <v>0.33</v>
      </c>
      <c r="Z125" s="432">
        <v>0.33</v>
      </c>
      <c r="AA125" s="444">
        <v>0.34</v>
      </c>
      <c r="AB125" s="525">
        <v>5.88</v>
      </c>
      <c r="AC125" s="413">
        <v>1.3333333333333333</v>
      </c>
      <c r="AD125" s="413">
        <v>0.3320261176470588</v>
      </c>
      <c r="AE125" s="413">
        <v>0.37727272727272726</v>
      </c>
      <c r="AF125" s="692">
        <f t="shared" si="91"/>
        <v>0</v>
      </c>
      <c r="AG125" s="693" t="s">
        <v>146</v>
      </c>
      <c r="AH125" s="709"/>
      <c r="AI125" s="693"/>
      <c r="AJ125" s="693"/>
      <c r="AK125" s="693"/>
      <c r="AL125" s="692">
        <f t="shared" si="77"/>
        <v>0</v>
      </c>
      <c r="AM125" s="697" t="s">
        <v>121</v>
      </c>
      <c r="AN125" s="693">
        <f t="shared" si="78"/>
        <v>0</v>
      </c>
      <c r="AO125" s="693">
        <f t="shared" si="79"/>
        <v>0</v>
      </c>
      <c r="AP125" s="693">
        <f t="shared" si="80"/>
        <v>0</v>
      </c>
      <c r="AQ125" s="693"/>
      <c r="AR125" s="401">
        <f t="shared" si="92"/>
        <v>0.33</v>
      </c>
      <c r="AS125" s="402" t="s">
        <v>100</v>
      </c>
      <c r="AT125" s="405">
        <f>1/1</f>
        <v>1</v>
      </c>
      <c r="AU125" s="627" t="s">
        <v>976</v>
      </c>
      <c r="AV125" s="553"/>
      <c r="AW125" s="729" t="str">
        <f t="shared" si="81"/>
        <v>ALTO</v>
      </c>
      <c r="AX125" s="397">
        <f t="shared" si="82"/>
        <v>0.33</v>
      </c>
      <c r="AY125" s="400" t="s">
        <v>246</v>
      </c>
      <c r="AZ125" s="398">
        <f t="shared" si="83"/>
        <v>1.9404000000000001</v>
      </c>
      <c r="BA125" s="398">
        <f t="shared" si="84"/>
        <v>0.44</v>
      </c>
      <c r="BB125" s="398">
        <f t="shared" si="85"/>
        <v>0.1095686188235294</v>
      </c>
      <c r="BC125" s="15"/>
      <c r="BD125" s="14">
        <f t="shared" si="86"/>
        <v>0.33</v>
      </c>
      <c r="BE125" s="764" t="s">
        <v>100</v>
      </c>
      <c r="BF125" s="765">
        <f>1/1</f>
        <v>1</v>
      </c>
      <c r="BG125" s="766" t="s">
        <v>977</v>
      </c>
      <c r="BH125" s="767" t="s">
        <v>885</v>
      </c>
      <c r="BI125" s="658" t="str">
        <f t="shared" si="63"/>
        <v>ALTO</v>
      </c>
      <c r="BJ125" s="681">
        <f t="shared" si="87"/>
        <v>0.33</v>
      </c>
      <c r="BK125" s="647" t="s">
        <v>978</v>
      </c>
      <c r="BL125" s="682">
        <f t="shared" si="64"/>
        <v>5.6122448979591844E-2</v>
      </c>
      <c r="BM125" s="682">
        <f t="shared" si="65"/>
        <v>0.24750000000000003</v>
      </c>
      <c r="BN125" s="682">
        <f t="shared" si="66"/>
        <v>0.99389771605493837</v>
      </c>
      <c r="BO125" s="658"/>
      <c r="BP125" s="853">
        <f t="shared" si="76"/>
        <v>0.34</v>
      </c>
      <c r="BQ125" s="854" t="s">
        <v>105</v>
      </c>
      <c r="BR125" s="855">
        <v>1</v>
      </c>
      <c r="BS125" s="874" t="s">
        <v>979</v>
      </c>
      <c r="BT125" s="872"/>
      <c r="BU125" s="905" t="str">
        <f t="shared" si="88"/>
        <v>ALTO</v>
      </c>
      <c r="BV125" s="875">
        <f t="shared" si="89"/>
        <v>0.34</v>
      </c>
      <c r="BW125" s="859" t="s">
        <v>180</v>
      </c>
      <c r="BX125" s="857">
        <f t="shared" si="67"/>
        <v>1.9992000000000001</v>
      </c>
      <c r="BY125" s="857">
        <f t="shared" si="68"/>
        <v>0.45333333333333337</v>
      </c>
      <c r="BZ125" s="857">
        <f t="shared" si="69"/>
        <v>0.11288888</v>
      </c>
      <c r="CA125" s="857">
        <f t="shared" si="70"/>
        <v>0.12827272727272729</v>
      </c>
      <c r="CB125" s="16">
        <f t="shared" si="71"/>
        <v>0.67</v>
      </c>
      <c r="CC125" s="16">
        <f t="shared" si="72"/>
        <v>0.33</v>
      </c>
      <c r="CD125" s="16">
        <f t="shared" si="74"/>
        <v>1</v>
      </c>
      <c r="CE125" s="16">
        <f t="shared" si="75"/>
        <v>1</v>
      </c>
      <c r="CF125" s="16" t="e">
        <f>SUM(#REF!/(CC125+CB125))</f>
        <v>#REF!</v>
      </c>
      <c r="CG125" s="17"/>
      <c r="CH125" s="17"/>
      <c r="CI125" s="17"/>
      <c r="CJ125" s="17"/>
      <c r="CK125" s="3" t="s">
        <v>165</v>
      </c>
      <c r="CV125" s="346">
        <f t="shared" si="90"/>
        <v>1</v>
      </c>
    </row>
    <row r="126" spans="1:303" s="1" customFormat="1" ht="65.099999999999994" customHeight="1" x14ac:dyDescent="0.2">
      <c r="A126" s="356" t="s">
        <v>79</v>
      </c>
      <c r="B126" s="356" t="s">
        <v>80</v>
      </c>
      <c r="C126" s="356" t="s">
        <v>81</v>
      </c>
      <c r="D126" s="356" t="s">
        <v>82</v>
      </c>
      <c r="E126" s="356" t="s">
        <v>83</v>
      </c>
      <c r="F126" s="356" t="s">
        <v>84</v>
      </c>
      <c r="G126" s="356" t="s">
        <v>85</v>
      </c>
      <c r="H126" s="356" t="s">
        <v>86</v>
      </c>
      <c r="I126" s="356" t="s">
        <v>87</v>
      </c>
      <c r="J126" s="356" t="s">
        <v>152</v>
      </c>
      <c r="K126" s="357" t="s">
        <v>878</v>
      </c>
      <c r="L126" s="357" t="s">
        <v>652</v>
      </c>
      <c r="M126" s="357" t="s">
        <v>181</v>
      </c>
      <c r="N126" s="367" t="s">
        <v>91</v>
      </c>
      <c r="O126" s="367" t="s">
        <v>154</v>
      </c>
      <c r="P126" s="930">
        <v>39542136.277533107</v>
      </c>
      <c r="Q126" s="368" t="s">
        <v>654</v>
      </c>
      <c r="R126" s="357" t="s">
        <v>156</v>
      </c>
      <c r="S126" s="371">
        <v>1</v>
      </c>
      <c r="T126" s="369" t="s">
        <v>182</v>
      </c>
      <c r="U126" s="357" t="s">
        <v>183</v>
      </c>
      <c r="V126" s="357" t="s">
        <v>98</v>
      </c>
      <c r="W126" s="497"/>
      <c r="X126" s="432">
        <v>0</v>
      </c>
      <c r="Y126" s="432">
        <v>0.5</v>
      </c>
      <c r="Z126" s="432">
        <v>0</v>
      </c>
      <c r="AA126" s="444">
        <v>0.5</v>
      </c>
      <c r="AB126" s="525">
        <v>5.88</v>
      </c>
      <c r="AC126" s="413">
        <v>1.3333333333333333</v>
      </c>
      <c r="AD126" s="413">
        <v>0.3320261176470588</v>
      </c>
      <c r="AE126" s="413">
        <v>0.37727272727272726</v>
      </c>
      <c r="AF126" s="692">
        <f t="shared" si="91"/>
        <v>0</v>
      </c>
      <c r="AG126" s="693" t="s">
        <v>146</v>
      </c>
      <c r="AH126" s="709"/>
      <c r="AI126" s="693"/>
      <c r="AJ126" s="693"/>
      <c r="AK126" s="693"/>
      <c r="AL126" s="692">
        <f t="shared" si="77"/>
        <v>0</v>
      </c>
      <c r="AM126" s="697" t="s">
        <v>121</v>
      </c>
      <c r="AN126" s="693">
        <f t="shared" si="78"/>
        <v>0</v>
      </c>
      <c r="AO126" s="693">
        <f t="shared" si="79"/>
        <v>0</v>
      </c>
      <c r="AP126" s="693">
        <f t="shared" si="80"/>
        <v>0</v>
      </c>
      <c r="AQ126" s="693"/>
      <c r="AR126" s="401">
        <f t="shared" si="92"/>
        <v>0.5</v>
      </c>
      <c r="AS126" s="402" t="s">
        <v>100</v>
      </c>
      <c r="AT126" s="405">
        <v>0</v>
      </c>
      <c r="AU126" s="627" t="s">
        <v>980</v>
      </c>
      <c r="AV126" s="553"/>
      <c r="AW126" s="729" t="str">
        <f t="shared" si="81"/>
        <v>BAJO</v>
      </c>
      <c r="AX126" s="397">
        <f t="shared" si="82"/>
        <v>0</v>
      </c>
      <c r="AY126" s="400" t="s">
        <v>246</v>
      </c>
      <c r="AZ126" s="398">
        <f t="shared" si="83"/>
        <v>0</v>
      </c>
      <c r="BA126" s="398">
        <f t="shared" si="84"/>
        <v>0</v>
      </c>
      <c r="BB126" s="398">
        <f t="shared" si="85"/>
        <v>0</v>
      </c>
      <c r="BC126" s="15"/>
      <c r="BD126" s="14">
        <f t="shared" si="86"/>
        <v>0</v>
      </c>
      <c r="BE126" s="764" t="s">
        <v>146</v>
      </c>
      <c r="BF126" s="765">
        <v>0</v>
      </c>
      <c r="BG126" s="766" t="s">
        <v>981</v>
      </c>
      <c r="BH126" s="767" t="s">
        <v>885</v>
      </c>
      <c r="BI126" s="658" t="str">
        <f t="shared" si="63"/>
        <v>BAJO</v>
      </c>
      <c r="BJ126" s="681">
        <f t="shared" si="87"/>
        <v>0</v>
      </c>
      <c r="BK126" s="647" t="s">
        <v>982</v>
      </c>
      <c r="BL126" s="682">
        <f t="shared" si="64"/>
        <v>0</v>
      </c>
      <c r="BM126" s="682">
        <f t="shared" si="65"/>
        <v>0</v>
      </c>
      <c r="BN126" s="682">
        <f t="shared" si="66"/>
        <v>0</v>
      </c>
      <c r="BO126" s="658"/>
      <c r="BP126" s="853">
        <f t="shared" si="76"/>
        <v>0.5</v>
      </c>
      <c r="BQ126" s="854" t="s">
        <v>105</v>
      </c>
      <c r="BR126" s="873">
        <v>1</v>
      </c>
      <c r="BS126" s="874" t="s">
        <v>980</v>
      </c>
      <c r="BT126" s="872"/>
      <c r="BU126" s="905" t="str">
        <f t="shared" si="88"/>
        <v>ALTO</v>
      </c>
      <c r="BV126" s="875">
        <f t="shared" si="89"/>
        <v>0.5</v>
      </c>
      <c r="BW126" s="859" t="s">
        <v>531</v>
      </c>
      <c r="BX126" s="857">
        <f t="shared" si="67"/>
        <v>2.94</v>
      </c>
      <c r="BY126" s="857">
        <f t="shared" si="68"/>
        <v>0.66666666666666663</v>
      </c>
      <c r="BZ126" s="857">
        <f t="shared" si="69"/>
        <v>0.1660130588235294</v>
      </c>
      <c r="CA126" s="857">
        <f t="shared" si="70"/>
        <v>0.18863636363636363</v>
      </c>
      <c r="CB126" s="16">
        <f t="shared" si="71"/>
        <v>0.5</v>
      </c>
      <c r="CC126" s="16">
        <f t="shared" si="72"/>
        <v>0.5</v>
      </c>
      <c r="CD126" s="16">
        <f t="shared" si="74"/>
        <v>1</v>
      </c>
      <c r="CE126" s="16">
        <f t="shared" si="75"/>
        <v>0.5</v>
      </c>
      <c r="CF126" s="16" t="e">
        <f>SUM(#REF!/(CC126+CB126))</f>
        <v>#REF!</v>
      </c>
      <c r="CG126" s="17"/>
      <c r="CH126" s="17"/>
      <c r="CI126" s="17"/>
      <c r="CJ126" s="17"/>
      <c r="CK126" s="3" t="s">
        <v>165</v>
      </c>
      <c r="CV126" s="346">
        <f t="shared" si="90"/>
        <v>1</v>
      </c>
    </row>
    <row r="127" spans="1:303" s="1" customFormat="1" ht="65.099999999999994" customHeight="1" x14ac:dyDescent="0.2">
      <c r="A127" s="356" t="s">
        <v>79</v>
      </c>
      <c r="B127" s="356" t="s">
        <v>80</v>
      </c>
      <c r="C127" s="356" t="s">
        <v>81</v>
      </c>
      <c r="D127" s="356" t="s">
        <v>82</v>
      </c>
      <c r="E127" s="356" t="s">
        <v>83</v>
      </c>
      <c r="F127" s="356" t="s">
        <v>84</v>
      </c>
      <c r="G127" s="356" t="s">
        <v>85</v>
      </c>
      <c r="H127" s="356" t="s">
        <v>86</v>
      </c>
      <c r="I127" s="356" t="s">
        <v>87</v>
      </c>
      <c r="J127" s="356" t="s">
        <v>152</v>
      </c>
      <c r="K127" s="357" t="s">
        <v>878</v>
      </c>
      <c r="L127" s="357" t="s">
        <v>652</v>
      </c>
      <c r="M127" s="357" t="s">
        <v>633</v>
      </c>
      <c r="N127" s="367" t="s">
        <v>91</v>
      </c>
      <c r="O127" s="367" t="s">
        <v>154</v>
      </c>
      <c r="P127" s="930">
        <v>39542136.277533107</v>
      </c>
      <c r="Q127" s="368" t="s">
        <v>654</v>
      </c>
      <c r="R127" s="357" t="s">
        <v>156</v>
      </c>
      <c r="S127" s="378">
        <v>1</v>
      </c>
      <c r="T127" s="369" t="s">
        <v>191</v>
      </c>
      <c r="U127" s="357" t="s">
        <v>158</v>
      </c>
      <c r="V127" s="357" t="s">
        <v>98</v>
      </c>
      <c r="W127" s="497" t="s">
        <v>634</v>
      </c>
      <c r="X127" s="432">
        <v>0</v>
      </c>
      <c r="Y127" s="432">
        <v>0</v>
      </c>
      <c r="Z127" s="432">
        <v>0.34</v>
      </c>
      <c r="AA127" s="444">
        <v>0.66</v>
      </c>
      <c r="AB127" s="525">
        <v>5.88</v>
      </c>
      <c r="AC127" s="413">
        <v>1.3333333333333333</v>
      </c>
      <c r="AD127" s="413">
        <v>0.3320261176470588</v>
      </c>
      <c r="AE127" s="413">
        <v>0.37727272727272726</v>
      </c>
      <c r="AF127" s="692">
        <f t="shared" si="91"/>
        <v>0</v>
      </c>
      <c r="AG127" s="693" t="s">
        <v>146</v>
      </c>
      <c r="AH127" s="709"/>
      <c r="AI127" s="693"/>
      <c r="AJ127" s="693"/>
      <c r="AK127" s="693"/>
      <c r="AL127" s="692">
        <f t="shared" si="77"/>
        <v>0</v>
      </c>
      <c r="AM127" s="697" t="s">
        <v>121</v>
      </c>
      <c r="AN127" s="693">
        <f t="shared" si="78"/>
        <v>0</v>
      </c>
      <c r="AO127" s="693">
        <f t="shared" si="79"/>
        <v>0</v>
      </c>
      <c r="AP127" s="693">
        <f t="shared" si="80"/>
        <v>0</v>
      </c>
      <c r="AQ127" s="693"/>
      <c r="AR127" s="401">
        <f t="shared" si="92"/>
        <v>0</v>
      </c>
      <c r="AS127" s="402" t="s">
        <v>146</v>
      </c>
      <c r="AT127" s="405"/>
      <c r="AU127" s="627"/>
      <c r="AV127" s="553"/>
      <c r="AW127" s="729"/>
      <c r="AX127" s="397">
        <f t="shared" si="82"/>
        <v>0</v>
      </c>
      <c r="AY127" s="400" t="s">
        <v>121</v>
      </c>
      <c r="AZ127" s="398">
        <f t="shared" si="83"/>
        <v>0</v>
      </c>
      <c r="BA127" s="398">
        <f t="shared" si="84"/>
        <v>0</v>
      </c>
      <c r="BB127" s="398">
        <f t="shared" si="85"/>
        <v>0</v>
      </c>
      <c r="BC127" s="15"/>
      <c r="BD127" s="14">
        <f t="shared" si="86"/>
        <v>0.34</v>
      </c>
      <c r="BE127" s="764" t="s">
        <v>100</v>
      </c>
      <c r="BF127" s="765">
        <f>1/1</f>
        <v>1</v>
      </c>
      <c r="BG127" s="766" t="s">
        <v>983</v>
      </c>
      <c r="BH127" s="767" t="s">
        <v>885</v>
      </c>
      <c r="BI127" s="658" t="str">
        <f t="shared" si="63"/>
        <v>ALTO</v>
      </c>
      <c r="BJ127" s="681">
        <f t="shared" si="87"/>
        <v>0.34</v>
      </c>
      <c r="BK127" s="647" t="s">
        <v>984</v>
      </c>
      <c r="BL127" s="682">
        <f t="shared" si="64"/>
        <v>5.7823129251700682E-2</v>
      </c>
      <c r="BM127" s="682">
        <f t="shared" si="65"/>
        <v>0.25500000000000006</v>
      </c>
      <c r="BN127" s="682">
        <f t="shared" si="66"/>
        <v>1.0240158286626637</v>
      </c>
      <c r="BO127" s="658"/>
      <c r="BP127" s="853">
        <f t="shared" si="76"/>
        <v>0.66</v>
      </c>
      <c r="BQ127" s="854" t="s">
        <v>105</v>
      </c>
      <c r="BR127" s="873">
        <v>1</v>
      </c>
      <c r="BS127" s="874" t="s">
        <v>985</v>
      </c>
      <c r="BT127" s="872"/>
      <c r="BU127" s="905" t="str">
        <f t="shared" si="88"/>
        <v>ALTO</v>
      </c>
      <c r="BV127" s="875">
        <f t="shared" si="89"/>
        <v>0.66</v>
      </c>
      <c r="BW127" s="859" t="s">
        <v>986</v>
      </c>
      <c r="BX127" s="857">
        <f t="shared" si="67"/>
        <v>3.8808000000000002</v>
      </c>
      <c r="BY127" s="857">
        <f t="shared" si="68"/>
        <v>0.88</v>
      </c>
      <c r="BZ127" s="857">
        <f t="shared" si="69"/>
        <v>0.21913723764705881</v>
      </c>
      <c r="CA127" s="857">
        <f t="shared" si="70"/>
        <v>0.249</v>
      </c>
      <c r="CB127" s="16">
        <f t="shared" si="71"/>
        <v>1</v>
      </c>
      <c r="CC127" s="16">
        <f t="shared" si="72"/>
        <v>0</v>
      </c>
      <c r="CD127" s="16">
        <f t="shared" si="74"/>
        <v>1</v>
      </c>
      <c r="CE127" s="16">
        <f t="shared" si="75"/>
        <v>1</v>
      </c>
      <c r="CF127" s="16" t="e">
        <f>SUM(#REF!/(CC127+CB127))</f>
        <v>#REF!</v>
      </c>
      <c r="CG127" s="17"/>
      <c r="CH127" s="17"/>
      <c r="CI127" s="17"/>
      <c r="CJ127" s="17"/>
      <c r="CK127" s="3" t="s">
        <v>165</v>
      </c>
      <c r="CV127" s="346">
        <f t="shared" si="90"/>
        <v>1</v>
      </c>
    </row>
    <row r="128" spans="1:303" s="1" customFormat="1" ht="65.099999999999994" customHeight="1" x14ac:dyDescent="0.2">
      <c r="A128" s="356" t="s">
        <v>79</v>
      </c>
      <c r="B128" s="356" t="s">
        <v>80</v>
      </c>
      <c r="C128" s="356" t="s">
        <v>81</v>
      </c>
      <c r="D128" s="356" t="s">
        <v>82</v>
      </c>
      <c r="E128" s="356" t="s">
        <v>83</v>
      </c>
      <c r="F128" s="356" t="s">
        <v>84</v>
      </c>
      <c r="G128" s="356" t="s">
        <v>85</v>
      </c>
      <c r="H128" s="356" t="s">
        <v>86</v>
      </c>
      <c r="I128" s="356" t="s">
        <v>87</v>
      </c>
      <c r="J128" s="356" t="s">
        <v>152</v>
      </c>
      <c r="K128" s="357" t="s">
        <v>878</v>
      </c>
      <c r="L128" s="357" t="s">
        <v>652</v>
      </c>
      <c r="M128" s="357" t="s">
        <v>195</v>
      </c>
      <c r="N128" s="367" t="s">
        <v>91</v>
      </c>
      <c r="O128" s="367" t="s">
        <v>154</v>
      </c>
      <c r="P128" s="930">
        <v>39542136.277533107</v>
      </c>
      <c r="Q128" s="368" t="s">
        <v>654</v>
      </c>
      <c r="R128" s="357" t="s">
        <v>156</v>
      </c>
      <c r="S128" s="357">
        <v>7</v>
      </c>
      <c r="T128" s="369" t="s">
        <v>196</v>
      </c>
      <c r="U128" s="357" t="s">
        <v>158</v>
      </c>
      <c r="V128" s="370" t="s">
        <v>98</v>
      </c>
      <c r="W128" s="497" t="s">
        <v>197</v>
      </c>
      <c r="X128" s="432">
        <v>0</v>
      </c>
      <c r="Y128" s="432">
        <f>1/7</f>
        <v>0.14285714285714285</v>
      </c>
      <c r="Z128" s="432">
        <f>3/7</f>
        <v>0.42857142857142855</v>
      </c>
      <c r="AA128" s="444">
        <f>3/7</f>
        <v>0.42857142857142855</v>
      </c>
      <c r="AB128" s="525">
        <v>5.88</v>
      </c>
      <c r="AC128" s="413">
        <v>1.3333333333333333</v>
      </c>
      <c r="AD128" s="413">
        <v>0.3320261176470588</v>
      </c>
      <c r="AE128" s="413">
        <v>0.37727272727272726</v>
      </c>
      <c r="AF128" s="692">
        <f t="shared" si="91"/>
        <v>0</v>
      </c>
      <c r="AG128" s="693" t="s">
        <v>146</v>
      </c>
      <c r="AH128" s="709"/>
      <c r="AI128" s="693"/>
      <c r="AJ128" s="693"/>
      <c r="AK128" s="693"/>
      <c r="AL128" s="692">
        <f t="shared" si="77"/>
        <v>0</v>
      </c>
      <c r="AM128" s="697" t="s">
        <v>121</v>
      </c>
      <c r="AN128" s="693">
        <f t="shared" si="78"/>
        <v>0</v>
      </c>
      <c r="AO128" s="693">
        <f t="shared" si="79"/>
        <v>0</v>
      </c>
      <c r="AP128" s="693">
        <f t="shared" si="80"/>
        <v>0</v>
      </c>
      <c r="AQ128" s="693"/>
      <c r="AR128" s="401">
        <f t="shared" si="92"/>
        <v>0.14285714285714285</v>
      </c>
      <c r="AS128" s="402" t="s">
        <v>100</v>
      </c>
      <c r="AT128" s="405">
        <f>0/1</f>
        <v>0</v>
      </c>
      <c r="AU128" s="637" t="s">
        <v>987</v>
      </c>
      <c r="AV128" s="554"/>
      <c r="AW128" s="729" t="str">
        <f t="shared" si="81"/>
        <v>BAJO</v>
      </c>
      <c r="AX128" s="397">
        <f t="shared" si="82"/>
        <v>0</v>
      </c>
      <c r="AY128" s="400" t="s">
        <v>988</v>
      </c>
      <c r="AZ128" s="398">
        <f t="shared" si="83"/>
        <v>0</v>
      </c>
      <c r="BA128" s="398">
        <f t="shared" si="84"/>
        <v>0</v>
      </c>
      <c r="BB128" s="398">
        <f t="shared" si="85"/>
        <v>0</v>
      </c>
      <c r="BC128" s="15"/>
      <c r="BD128" s="14">
        <f t="shared" si="86"/>
        <v>0.42857142857142855</v>
      </c>
      <c r="BE128" s="764" t="s">
        <v>100</v>
      </c>
      <c r="BF128" s="765">
        <v>0</v>
      </c>
      <c r="BG128" s="769" t="s">
        <v>989</v>
      </c>
      <c r="BH128" s="764" t="s">
        <v>885</v>
      </c>
      <c r="BI128" s="658" t="str">
        <f t="shared" si="63"/>
        <v>BAJO</v>
      </c>
      <c r="BJ128" s="681">
        <f t="shared" si="87"/>
        <v>0</v>
      </c>
      <c r="BK128" s="647" t="s">
        <v>990</v>
      </c>
      <c r="BL128" s="682">
        <f t="shared" si="64"/>
        <v>0</v>
      </c>
      <c r="BM128" s="682">
        <f t="shared" si="65"/>
        <v>0</v>
      </c>
      <c r="BN128" s="682">
        <f t="shared" si="66"/>
        <v>0</v>
      </c>
      <c r="BO128" s="658"/>
      <c r="BP128" s="853">
        <f t="shared" si="76"/>
        <v>0.42857142857142855</v>
      </c>
      <c r="BQ128" s="854" t="s">
        <v>105</v>
      </c>
      <c r="BR128" s="873">
        <v>1</v>
      </c>
      <c r="BS128" s="874" t="s">
        <v>991</v>
      </c>
      <c r="BT128" s="872"/>
      <c r="BU128" s="905" t="str">
        <f t="shared" si="88"/>
        <v>ALTO</v>
      </c>
      <c r="BV128" s="875">
        <f t="shared" si="89"/>
        <v>0.42857142857142855</v>
      </c>
      <c r="BW128" s="859" t="s">
        <v>645</v>
      </c>
      <c r="BX128" s="857">
        <f t="shared" si="67"/>
        <v>2.52</v>
      </c>
      <c r="BY128" s="857">
        <f t="shared" si="68"/>
        <v>0.5714285714285714</v>
      </c>
      <c r="BZ128" s="857">
        <f t="shared" si="69"/>
        <v>0.14229690756302518</v>
      </c>
      <c r="CA128" s="857">
        <f t="shared" si="70"/>
        <v>0.16168831168831169</v>
      </c>
      <c r="CB128" s="16">
        <f t="shared" si="71"/>
        <v>0.8571428571428571</v>
      </c>
      <c r="CC128" s="16">
        <f t="shared" si="72"/>
        <v>0.14285714285714285</v>
      </c>
      <c r="CD128" s="16">
        <f t="shared" si="74"/>
        <v>1</v>
      </c>
      <c r="CE128" s="16">
        <f t="shared" si="75"/>
        <v>0.42857142857142855</v>
      </c>
      <c r="CF128" s="16" t="e">
        <f>SUM(#REF!/(CC128+CB128))</f>
        <v>#REF!</v>
      </c>
      <c r="CG128" s="17"/>
      <c r="CH128" s="17"/>
      <c r="CI128" s="17"/>
      <c r="CJ128" s="17"/>
      <c r="CK128" s="3" t="s">
        <v>165</v>
      </c>
      <c r="CV128" s="346">
        <f t="shared" si="90"/>
        <v>1</v>
      </c>
    </row>
    <row r="129" spans="1:303" s="1" customFormat="1" ht="65.099999999999994" customHeight="1" x14ac:dyDescent="0.2">
      <c r="A129" s="356" t="s">
        <v>79</v>
      </c>
      <c r="B129" s="356" t="s">
        <v>80</v>
      </c>
      <c r="C129" s="356" t="s">
        <v>81</v>
      </c>
      <c r="D129" s="356" t="s">
        <v>82</v>
      </c>
      <c r="E129" s="356" t="s">
        <v>83</v>
      </c>
      <c r="F129" s="356" t="s">
        <v>84</v>
      </c>
      <c r="G129" s="356" t="s">
        <v>85</v>
      </c>
      <c r="H129" s="356" t="s">
        <v>86</v>
      </c>
      <c r="I129" s="356" t="s">
        <v>87</v>
      </c>
      <c r="J129" s="356" t="s">
        <v>152</v>
      </c>
      <c r="K129" s="357" t="s">
        <v>878</v>
      </c>
      <c r="L129" s="357" t="s">
        <v>652</v>
      </c>
      <c r="M129" s="357" t="s">
        <v>201</v>
      </c>
      <c r="N129" s="367" t="s">
        <v>91</v>
      </c>
      <c r="O129" s="367" t="s">
        <v>202</v>
      </c>
      <c r="P129" s="930">
        <v>39542136.277533107</v>
      </c>
      <c r="Q129" s="368" t="s">
        <v>654</v>
      </c>
      <c r="R129" s="357" t="s">
        <v>156</v>
      </c>
      <c r="S129" s="378">
        <v>1</v>
      </c>
      <c r="T129" s="369" t="s">
        <v>203</v>
      </c>
      <c r="U129" s="357" t="s">
        <v>204</v>
      </c>
      <c r="V129" s="357" t="s">
        <v>98</v>
      </c>
      <c r="W129" s="497" t="s">
        <v>205</v>
      </c>
      <c r="X129" s="432">
        <v>0</v>
      </c>
      <c r="Y129" s="432">
        <v>0</v>
      </c>
      <c r="Z129" s="432">
        <v>0</v>
      </c>
      <c r="AA129" s="444">
        <v>1</v>
      </c>
      <c r="AB129" s="525">
        <v>5.88</v>
      </c>
      <c r="AC129" s="413">
        <v>1.3333333333333333</v>
      </c>
      <c r="AD129" s="413">
        <v>0.3320261176470588</v>
      </c>
      <c r="AE129" s="413">
        <v>0.37727272727272726</v>
      </c>
      <c r="AF129" s="692">
        <f t="shared" si="91"/>
        <v>0</v>
      </c>
      <c r="AG129" s="693" t="s">
        <v>146</v>
      </c>
      <c r="AH129" s="709"/>
      <c r="AI129" s="693"/>
      <c r="AJ129" s="693"/>
      <c r="AK129" s="693"/>
      <c r="AL129" s="692">
        <f t="shared" si="77"/>
        <v>0</v>
      </c>
      <c r="AM129" s="697" t="s">
        <v>121</v>
      </c>
      <c r="AN129" s="693">
        <f t="shared" si="78"/>
        <v>0</v>
      </c>
      <c r="AO129" s="693">
        <f t="shared" si="79"/>
        <v>0</v>
      </c>
      <c r="AP129" s="693">
        <f t="shared" si="80"/>
        <v>0</v>
      </c>
      <c r="AQ129" s="693"/>
      <c r="AR129" s="401">
        <f t="shared" si="92"/>
        <v>0</v>
      </c>
      <c r="AS129" s="402" t="s">
        <v>146</v>
      </c>
      <c r="AT129" s="405"/>
      <c r="AU129" s="637"/>
      <c r="AV129" s="554"/>
      <c r="AW129" s="729"/>
      <c r="AX129" s="397">
        <f t="shared" si="82"/>
        <v>0</v>
      </c>
      <c r="AY129" s="400" t="s">
        <v>121</v>
      </c>
      <c r="AZ129" s="398">
        <f t="shared" si="83"/>
        <v>0</v>
      </c>
      <c r="BA129" s="398">
        <f t="shared" si="84"/>
        <v>0</v>
      </c>
      <c r="BB129" s="398">
        <f t="shared" si="85"/>
        <v>0</v>
      </c>
      <c r="BC129" s="15"/>
      <c r="BD129" s="14">
        <f t="shared" si="86"/>
        <v>0</v>
      </c>
      <c r="BE129" s="764" t="s">
        <v>146</v>
      </c>
      <c r="BF129" s="765"/>
      <c r="BG129" s="762" t="s">
        <v>981</v>
      </c>
      <c r="BH129" s="767" t="s">
        <v>885</v>
      </c>
      <c r="BI129" s="658" t="str">
        <f t="shared" si="63"/>
        <v>BAJO</v>
      </c>
      <c r="BJ129" s="681">
        <f t="shared" si="87"/>
        <v>0</v>
      </c>
      <c r="BK129" s="647" t="s">
        <v>149</v>
      </c>
      <c r="BL129" s="682">
        <f t="shared" si="64"/>
        <v>0</v>
      </c>
      <c r="BM129" s="682">
        <f t="shared" si="65"/>
        <v>0</v>
      </c>
      <c r="BN129" s="682">
        <f t="shared" si="66"/>
        <v>0</v>
      </c>
      <c r="BO129" s="658"/>
      <c r="BP129" s="853">
        <f t="shared" si="76"/>
        <v>1</v>
      </c>
      <c r="BQ129" s="854" t="s">
        <v>105</v>
      </c>
      <c r="BR129" s="873">
        <v>0</v>
      </c>
      <c r="BS129" s="874" t="s">
        <v>992</v>
      </c>
      <c r="BT129" s="872"/>
      <c r="BU129" s="907" t="str">
        <f t="shared" si="88"/>
        <v>BAJO</v>
      </c>
      <c r="BV129" s="875">
        <f t="shared" si="89"/>
        <v>0</v>
      </c>
      <c r="BW129" s="859" t="s">
        <v>993</v>
      </c>
      <c r="BX129" s="857">
        <f t="shared" si="67"/>
        <v>0</v>
      </c>
      <c r="BY129" s="857">
        <f t="shared" si="68"/>
        <v>0</v>
      </c>
      <c r="BZ129" s="857">
        <f t="shared" si="69"/>
        <v>0</v>
      </c>
      <c r="CA129" s="857">
        <f t="shared" si="70"/>
        <v>0</v>
      </c>
      <c r="CB129" s="16">
        <f t="shared" si="71"/>
        <v>1</v>
      </c>
      <c r="CC129" s="16">
        <f t="shared" si="72"/>
        <v>0</v>
      </c>
      <c r="CD129" s="16">
        <f t="shared" si="74"/>
        <v>1</v>
      </c>
      <c r="CE129" s="16">
        <f t="shared" si="75"/>
        <v>0</v>
      </c>
      <c r="CF129" s="16" t="e">
        <f>SUM(#REF!/(CC129+CB129))</f>
        <v>#REF!</v>
      </c>
      <c r="CG129" s="17"/>
      <c r="CH129" s="17"/>
      <c r="CI129" s="17"/>
      <c r="CJ129" s="17"/>
      <c r="CK129" s="3" t="s">
        <v>165</v>
      </c>
      <c r="CV129" s="346">
        <f t="shared" si="90"/>
        <v>1</v>
      </c>
    </row>
    <row r="130" spans="1:303" s="5" customFormat="1" ht="65.099999999999994" customHeight="1" x14ac:dyDescent="0.25">
      <c r="A130" s="354" t="s">
        <v>79</v>
      </c>
      <c r="B130" s="354" t="s">
        <v>80</v>
      </c>
      <c r="C130" s="354" t="s">
        <v>81</v>
      </c>
      <c r="D130" s="354" t="s">
        <v>82</v>
      </c>
      <c r="E130" s="354" t="s">
        <v>83</v>
      </c>
      <c r="F130" s="354" t="s">
        <v>84</v>
      </c>
      <c r="G130" s="354" t="s">
        <v>85</v>
      </c>
      <c r="H130" s="354" t="s">
        <v>626</v>
      </c>
      <c r="I130" s="354" t="s">
        <v>649</v>
      </c>
      <c r="J130" s="358" t="s">
        <v>994</v>
      </c>
      <c r="K130" s="348" t="s">
        <v>12</v>
      </c>
      <c r="L130" s="348" t="s">
        <v>652</v>
      </c>
      <c r="M130" s="687" t="s">
        <v>995</v>
      </c>
      <c r="N130" s="361" t="s">
        <v>444</v>
      </c>
      <c r="O130" s="361" t="s">
        <v>445</v>
      </c>
      <c r="P130" s="922">
        <v>39542136.277533107</v>
      </c>
      <c r="Q130" s="364" t="s">
        <v>654</v>
      </c>
      <c r="R130" s="364" t="s">
        <v>213</v>
      </c>
      <c r="S130" s="383">
        <v>1</v>
      </c>
      <c r="T130" s="484" t="s">
        <v>996</v>
      </c>
      <c r="U130" s="484" t="s">
        <v>997</v>
      </c>
      <c r="V130" s="493" t="s">
        <v>998</v>
      </c>
      <c r="W130" s="504" t="s">
        <v>999</v>
      </c>
      <c r="X130" s="453">
        <v>0</v>
      </c>
      <c r="Y130" s="453">
        <v>0</v>
      </c>
      <c r="Z130" s="453">
        <v>1</v>
      </c>
      <c r="AA130" s="523">
        <v>0</v>
      </c>
      <c r="AB130" s="525">
        <v>7.15</v>
      </c>
      <c r="AC130" s="413">
        <v>1.3333333333333333</v>
      </c>
      <c r="AD130" s="413">
        <v>0.40317457142857144</v>
      </c>
      <c r="AE130" s="413">
        <v>0.4</v>
      </c>
      <c r="AF130" s="692">
        <f t="shared" si="91"/>
        <v>0</v>
      </c>
      <c r="AG130" s="693" t="s">
        <v>146</v>
      </c>
      <c r="AH130" s="698">
        <v>0</v>
      </c>
      <c r="AI130" s="698"/>
      <c r="AJ130" s="697" t="s">
        <v>1000</v>
      </c>
      <c r="AK130" s="693"/>
      <c r="AL130" s="692">
        <f t="shared" si="77"/>
        <v>0</v>
      </c>
      <c r="AM130" s="697" t="s">
        <v>121</v>
      </c>
      <c r="AN130" s="693">
        <f t="shared" si="78"/>
        <v>0</v>
      </c>
      <c r="AO130" s="693">
        <f t="shared" si="79"/>
        <v>0</v>
      </c>
      <c r="AP130" s="693">
        <f t="shared" si="80"/>
        <v>0</v>
      </c>
      <c r="AQ130" s="693"/>
      <c r="AR130" s="401">
        <f t="shared" si="92"/>
        <v>0</v>
      </c>
      <c r="AS130" s="402" t="s">
        <v>146</v>
      </c>
      <c r="AT130" s="405">
        <v>0</v>
      </c>
      <c r="AU130" s="627"/>
      <c r="AV130" s="627" t="s">
        <v>1001</v>
      </c>
      <c r="AW130" s="729"/>
      <c r="AX130" s="397">
        <f t="shared" si="82"/>
        <v>0</v>
      </c>
      <c r="AY130" s="400" t="s">
        <v>121</v>
      </c>
      <c r="AZ130" s="398">
        <f t="shared" si="83"/>
        <v>0</v>
      </c>
      <c r="BA130" s="398">
        <f t="shared" si="84"/>
        <v>0</v>
      </c>
      <c r="BB130" s="398">
        <f t="shared" si="85"/>
        <v>0</v>
      </c>
      <c r="BC130" s="15"/>
      <c r="BD130" s="14">
        <f t="shared" si="86"/>
        <v>1</v>
      </c>
      <c r="BE130" s="645" t="s">
        <v>100</v>
      </c>
      <c r="BF130" s="770">
        <v>0</v>
      </c>
      <c r="BG130" s="658"/>
      <c r="BH130" s="680" t="s">
        <v>1002</v>
      </c>
      <c r="BI130" s="658" t="str">
        <f t="shared" si="63"/>
        <v>BAJO</v>
      </c>
      <c r="BJ130" s="681">
        <f t="shared" si="87"/>
        <v>0</v>
      </c>
      <c r="BK130" s="647" t="s">
        <v>1003</v>
      </c>
      <c r="BL130" s="682">
        <f t="shared" si="64"/>
        <v>0</v>
      </c>
      <c r="BM130" s="682">
        <f t="shared" si="65"/>
        <v>0</v>
      </c>
      <c r="BN130" s="682">
        <f t="shared" si="66"/>
        <v>0</v>
      </c>
      <c r="BO130" s="658"/>
      <c r="BP130" s="888">
        <v>0</v>
      </c>
      <c r="BQ130" s="854" t="s">
        <v>105</v>
      </c>
      <c r="BR130" s="876">
        <f>100/100</f>
        <v>1</v>
      </c>
      <c r="BS130" s="889"/>
      <c r="BT130" s="856" t="s">
        <v>1004</v>
      </c>
      <c r="BU130" s="905" t="str">
        <f t="shared" si="88"/>
        <v>ALTO</v>
      </c>
      <c r="BV130" s="875">
        <f t="shared" si="89"/>
        <v>0</v>
      </c>
      <c r="BW130" s="859" t="s">
        <v>1005</v>
      </c>
      <c r="BX130" s="857">
        <f t="shared" si="67"/>
        <v>0</v>
      </c>
      <c r="BY130" s="857">
        <f t="shared" si="68"/>
        <v>0</v>
      </c>
      <c r="BZ130" s="857">
        <f t="shared" si="69"/>
        <v>0</v>
      </c>
      <c r="CA130" s="857">
        <f t="shared" si="70"/>
        <v>0</v>
      </c>
      <c r="CB130" s="16">
        <f t="shared" si="71"/>
        <v>1</v>
      </c>
      <c r="CC130" s="16">
        <f t="shared" si="72"/>
        <v>0</v>
      </c>
      <c r="CD130" s="16">
        <f t="shared" si="74"/>
        <v>1</v>
      </c>
      <c r="CE130" s="16">
        <f t="shared" si="75"/>
        <v>0</v>
      </c>
      <c r="CF130" s="16" t="e">
        <f>SUM(#REF!/(CC130+CB130))</f>
        <v>#REF!</v>
      </c>
      <c r="CG130" s="17"/>
      <c r="CH130" s="17"/>
      <c r="CI130" s="17"/>
      <c r="CJ130" s="17"/>
      <c r="CK130" s="1"/>
      <c r="CL130" s="1"/>
      <c r="CM130" s="1"/>
      <c r="CN130" s="1"/>
      <c r="CO130" s="1"/>
      <c r="CP130" s="1"/>
      <c r="CQ130" s="1"/>
      <c r="CR130" s="1"/>
      <c r="CS130" s="1"/>
      <c r="CT130" s="1"/>
      <c r="CU130" s="1"/>
      <c r="CV130" s="346">
        <f t="shared" si="90"/>
        <v>1</v>
      </c>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c r="FK130" s="1"/>
      <c r="FL130" s="1"/>
      <c r="FM130" s="1"/>
      <c r="FN130" s="1"/>
      <c r="FO130" s="1"/>
      <c r="FP130" s="1"/>
      <c r="FQ130" s="1"/>
      <c r="FR130" s="1"/>
      <c r="FS130" s="1"/>
      <c r="FT130" s="1"/>
      <c r="FU130" s="1"/>
      <c r="FV130" s="1"/>
      <c r="FW130" s="1"/>
      <c r="FX130" s="1"/>
      <c r="FY130" s="1"/>
      <c r="FZ130" s="1"/>
      <c r="GA130" s="1"/>
      <c r="GB130" s="1"/>
      <c r="GC130" s="1"/>
      <c r="GD130" s="1"/>
      <c r="GE130" s="1"/>
      <c r="GF130" s="1"/>
      <c r="GG130" s="1"/>
      <c r="GH130" s="1"/>
      <c r="GI130" s="1"/>
      <c r="GJ130" s="1"/>
      <c r="GK130" s="1"/>
      <c r="GL130" s="1"/>
      <c r="GM130" s="1"/>
      <c r="GN130" s="1"/>
      <c r="GO130" s="1"/>
      <c r="GP130" s="1"/>
      <c r="GQ130" s="1"/>
      <c r="GR130" s="1"/>
      <c r="GS130" s="1"/>
      <c r="GT130" s="1"/>
      <c r="GU130" s="1"/>
      <c r="GV130" s="1"/>
      <c r="GW130" s="1"/>
      <c r="GX130" s="1"/>
      <c r="GY130" s="1"/>
      <c r="GZ130" s="1"/>
      <c r="HA130" s="1"/>
      <c r="HB130" s="1"/>
      <c r="HC130" s="1"/>
      <c r="HD130" s="1"/>
      <c r="HE130" s="1"/>
      <c r="HF130" s="1"/>
      <c r="HG130" s="1"/>
      <c r="HH130" s="1"/>
      <c r="HI130" s="1"/>
      <c r="HJ130" s="1"/>
      <c r="HK130" s="1"/>
      <c r="HL130" s="1"/>
      <c r="HM130" s="1"/>
      <c r="HN130" s="1"/>
      <c r="HO130" s="1"/>
      <c r="HP130" s="1"/>
      <c r="HQ130" s="1"/>
      <c r="HR130" s="1"/>
      <c r="HS130" s="1"/>
      <c r="HT130" s="1"/>
      <c r="HU130" s="1"/>
      <c r="HV130" s="1"/>
      <c r="HW130" s="1"/>
      <c r="HX130" s="1"/>
      <c r="HY130" s="1"/>
      <c r="HZ130" s="1"/>
      <c r="IA130" s="1"/>
      <c r="IB130" s="1"/>
      <c r="IC130" s="1"/>
      <c r="ID130" s="1"/>
      <c r="IE130" s="1"/>
      <c r="IF130" s="1"/>
      <c r="IG130" s="1"/>
      <c r="IH130" s="1"/>
      <c r="II130" s="1"/>
      <c r="IJ130" s="1"/>
      <c r="IK130" s="1"/>
      <c r="IL130" s="1"/>
      <c r="IM130" s="1"/>
      <c r="IN130" s="1"/>
      <c r="IO130" s="1"/>
      <c r="IP130" s="1"/>
      <c r="IQ130" s="1"/>
      <c r="IR130" s="1"/>
      <c r="IS130" s="1"/>
      <c r="IT130" s="1"/>
      <c r="IU130" s="1"/>
      <c r="IV130" s="1"/>
      <c r="IW130" s="1"/>
      <c r="IX130" s="1"/>
      <c r="IY130" s="1"/>
      <c r="IZ130" s="1"/>
      <c r="JA130" s="1"/>
      <c r="JB130" s="1"/>
      <c r="JC130" s="1"/>
      <c r="JD130" s="1"/>
      <c r="JE130" s="1"/>
      <c r="JF130" s="1"/>
      <c r="JG130" s="1"/>
      <c r="JH130" s="1"/>
      <c r="JI130" s="1"/>
      <c r="JJ130" s="1"/>
      <c r="JK130" s="1"/>
      <c r="JL130" s="1"/>
      <c r="JM130" s="1"/>
      <c r="JN130" s="1"/>
      <c r="JO130" s="1"/>
      <c r="JP130" s="1"/>
      <c r="JQ130" s="1"/>
      <c r="JR130" s="1"/>
      <c r="JS130" s="1"/>
      <c r="JT130" s="1"/>
      <c r="JU130" s="1"/>
      <c r="JV130" s="1"/>
      <c r="JW130" s="1"/>
      <c r="JX130" s="1"/>
      <c r="JY130" s="1"/>
      <c r="JZ130" s="1"/>
      <c r="KA130" s="1"/>
      <c r="KB130" s="1"/>
      <c r="KC130" s="1"/>
      <c r="KD130" s="1"/>
      <c r="KE130" s="1"/>
      <c r="KF130" s="1"/>
      <c r="KG130" s="1"/>
      <c r="KH130" s="1"/>
      <c r="KI130" s="1"/>
      <c r="KJ130" s="1"/>
      <c r="KK130" s="1"/>
      <c r="KL130" s="1"/>
      <c r="KM130" s="1"/>
      <c r="KN130" s="1"/>
      <c r="KO130" s="1"/>
      <c r="KP130" s="1"/>
      <c r="KQ130" s="1"/>
    </row>
    <row r="131" spans="1:303" s="5" customFormat="1" ht="65.099999999999994" customHeight="1" x14ac:dyDescent="0.25">
      <c r="A131" s="354" t="s">
        <v>79</v>
      </c>
      <c r="B131" s="354" t="s">
        <v>80</v>
      </c>
      <c r="C131" s="354" t="s">
        <v>81</v>
      </c>
      <c r="D131" s="354" t="s">
        <v>82</v>
      </c>
      <c r="E131" s="354" t="s">
        <v>83</v>
      </c>
      <c r="F131" s="354" t="s">
        <v>84</v>
      </c>
      <c r="G131" s="354" t="s">
        <v>85</v>
      </c>
      <c r="H131" s="354" t="s">
        <v>626</v>
      </c>
      <c r="I131" s="354" t="s">
        <v>649</v>
      </c>
      <c r="J131" s="358" t="s">
        <v>994</v>
      </c>
      <c r="K131" s="348" t="s">
        <v>12</v>
      </c>
      <c r="L131" s="348" t="s">
        <v>652</v>
      </c>
      <c r="M131" s="846" t="s">
        <v>1006</v>
      </c>
      <c r="N131" s="361" t="s">
        <v>444</v>
      </c>
      <c r="O131" s="361" t="s">
        <v>445</v>
      </c>
      <c r="P131" s="922">
        <v>39542136.277533107</v>
      </c>
      <c r="Q131" s="364" t="s">
        <v>654</v>
      </c>
      <c r="R131" s="364" t="s">
        <v>213</v>
      </c>
      <c r="S131" s="512">
        <v>8</v>
      </c>
      <c r="T131" s="485" t="s">
        <v>1007</v>
      </c>
      <c r="U131" s="485" t="s">
        <v>1008</v>
      </c>
      <c r="V131" s="494" t="s">
        <v>998</v>
      </c>
      <c r="W131" s="505" t="s">
        <v>1009</v>
      </c>
      <c r="X131" s="454">
        <v>0</v>
      </c>
      <c r="Y131" s="454">
        <v>0</v>
      </c>
      <c r="Z131" s="454">
        <v>0.5</v>
      </c>
      <c r="AA131" s="524">
        <v>0.5</v>
      </c>
      <c r="AB131" s="525">
        <v>7.15</v>
      </c>
      <c r="AC131" s="413">
        <v>1.3333333333333333</v>
      </c>
      <c r="AD131" s="413">
        <v>0.40317457142857144</v>
      </c>
      <c r="AE131" s="413">
        <v>0.4</v>
      </c>
      <c r="AF131" s="692">
        <f t="shared" si="91"/>
        <v>0</v>
      </c>
      <c r="AG131" s="693" t="s">
        <v>146</v>
      </c>
      <c r="AH131" s="698">
        <v>0</v>
      </c>
      <c r="AI131" s="693"/>
      <c r="AJ131" s="697" t="s">
        <v>1000</v>
      </c>
      <c r="AK131" s="693"/>
      <c r="AL131" s="692">
        <f t="shared" si="77"/>
        <v>0</v>
      </c>
      <c r="AM131" s="697" t="s">
        <v>121</v>
      </c>
      <c r="AN131" s="693">
        <f t="shared" si="78"/>
        <v>0</v>
      </c>
      <c r="AO131" s="693">
        <f t="shared" si="79"/>
        <v>0</v>
      </c>
      <c r="AP131" s="693">
        <f t="shared" si="80"/>
        <v>0</v>
      </c>
      <c r="AQ131" s="693"/>
      <c r="AR131" s="401">
        <f t="shared" si="92"/>
        <v>0</v>
      </c>
      <c r="AS131" s="402" t="s">
        <v>146</v>
      </c>
      <c r="AT131" s="405">
        <v>0</v>
      </c>
      <c r="AU131" s="627"/>
      <c r="AV131" s="627" t="s">
        <v>1010</v>
      </c>
      <c r="AW131" s="729"/>
      <c r="AX131" s="397">
        <f t="shared" si="82"/>
        <v>0</v>
      </c>
      <c r="AY131" s="400" t="s">
        <v>121</v>
      </c>
      <c r="AZ131" s="398">
        <f t="shared" si="83"/>
        <v>0</v>
      </c>
      <c r="BA131" s="398">
        <f t="shared" si="84"/>
        <v>0</v>
      </c>
      <c r="BB131" s="398">
        <f t="shared" si="85"/>
        <v>0</v>
      </c>
      <c r="BC131" s="15"/>
      <c r="BD131" s="14">
        <f t="shared" si="86"/>
        <v>0.5</v>
      </c>
      <c r="BE131" s="645" t="s">
        <v>100</v>
      </c>
      <c r="BF131" s="759">
        <f>6/6</f>
        <v>1</v>
      </c>
      <c r="BG131" s="658"/>
      <c r="BH131" s="680" t="s">
        <v>1011</v>
      </c>
      <c r="BI131" s="658" t="str">
        <f t="shared" si="63"/>
        <v>ALTO</v>
      </c>
      <c r="BJ131" s="681">
        <f t="shared" si="87"/>
        <v>0.5</v>
      </c>
      <c r="BK131" s="647" t="s">
        <v>1012</v>
      </c>
      <c r="BL131" s="682">
        <f t="shared" si="64"/>
        <v>6.9930069930069921E-2</v>
      </c>
      <c r="BM131" s="682">
        <f t="shared" si="65"/>
        <v>0.375</v>
      </c>
      <c r="BN131" s="682">
        <f t="shared" si="66"/>
        <v>1.2401575779651637</v>
      </c>
      <c r="BO131" s="658"/>
      <c r="BP131" s="888">
        <v>0.5</v>
      </c>
      <c r="BQ131" s="854" t="s">
        <v>105</v>
      </c>
      <c r="BR131" s="876">
        <f>90/100</f>
        <v>0.9</v>
      </c>
      <c r="BS131" s="889"/>
      <c r="BT131" s="856" t="s">
        <v>1013</v>
      </c>
      <c r="BU131" s="905" t="str">
        <f t="shared" si="88"/>
        <v>ALTO</v>
      </c>
      <c r="BV131" s="875">
        <f t="shared" si="89"/>
        <v>0.45</v>
      </c>
      <c r="BW131" s="859" t="s">
        <v>1014</v>
      </c>
      <c r="BX131" s="857">
        <f t="shared" si="67"/>
        <v>3.2175000000000002</v>
      </c>
      <c r="BY131" s="857">
        <f t="shared" si="68"/>
        <v>0.6</v>
      </c>
      <c r="BZ131" s="857">
        <f t="shared" si="69"/>
        <v>0.18142855714285716</v>
      </c>
      <c r="CA131" s="857">
        <f t="shared" si="70"/>
        <v>0.18000000000000002</v>
      </c>
      <c r="CB131" s="16">
        <f t="shared" si="71"/>
        <v>1</v>
      </c>
      <c r="CC131" s="16">
        <f t="shared" si="72"/>
        <v>0</v>
      </c>
      <c r="CD131" s="16">
        <f t="shared" si="74"/>
        <v>1</v>
      </c>
      <c r="CE131" s="16">
        <f t="shared" si="75"/>
        <v>0.95</v>
      </c>
      <c r="CF131" s="16" t="e">
        <f>SUM(#REF!/(CC131+CB131))</f>
        <v>#REF!</v>
      </c>
      <c r="CG131" s="17"/>
      <c r="CH131" s="17"/>
      <c r="CI131" s="17"/>
      <c r="CJ131" s="17"/>
      <c r="CK131" s="1"/>
      <c r="CL131" s="1"/>
      <c r="CM131" s="1"/>
      <c r="CN131" s="1"/>
      <c r="CO131" s="1"/>
      <c r="CP131" s="1"/>
      <c r="CQ131" s="1"/>
      <c r="CR131" s="1"/>
      <c r="CS131" s="1"/>
      <c r="CT131" s="1"/>
      <c r="CU131" s="1"/>
      <c r="CV131" s="346">
        <f t="shared" si="90"/>
        <v>1</v>
      </c>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c r="FJ131" s="1"/>
      <c r="FK131" s="1"/>
      <c r="FL131" s="1"/>
      <c r="FM131" s="1"/>
      <c r="FN131" s="1"/>
      <c r="FO131" s="1"/>
      <c r="FP131" s="1"/>
      <c r="FQ131" s="1"/>
      <c r="FR131" s="1"/>
      <c r="FS131" s="1"/>
      <c r="FT131" s="1"/>
      <c r="FU131" s="1"/>
      <c r="FV131" s="1"/>
      <c r="FW131" s="1"/>
      <c r="FX131" s="1"/>
      <c r="FY131" s="1"/>
      <c r="FZ131" s="1"/>
      <c r="GA131" s="1"/>
      <c r="GB131" s="1"/>
      <c r="GC131" s="1"/>
      <c r="GD131" s="1"/>
      <c r="GE131" s="1"/>
      <c r="GF131" s="1"/>
      <c r="GG131" s="1"/>
      <c r="GH131" s="1"/>
      <c r="GI131" s="1"/>
      <c r="GJ131" s="1"/>
      <c r="GK131" s="1"/>
      <c r="GL131" s="1"/>
      <c r="GM131" s="1"/>
      <c r="GN131" s="1"/>
      <c r="GO131" s="1"/>
      <c r="GP131" s="1"/>
      <c r="GQ131" s="1"/>
      <c r="GR131" s="1"/>
      <c r="GS131" s="1"/>
      <c r="GT131" s="1"/>
      <c r="GU131" s="1"/>
      <c r="GV131" s="1"/>
      <c r="GW131" s="1"/>
      <c r="GX131" s="1"/>
      <c r="GY131" s="1"/>
      <c r="GZ131" s="1"/>
      <c r="HA131" s="1"/>
      <c r="HB131" s="1"/>
      <c r="HC131" s="1"/>
      <c r="HD131" s="1"/>
      <c r="HE131" s="1"/>
      <c r="HF131" s="1"/>
      <c r="HG131" s="1"/>
      <c r="HH131" s="1"/>
      <c r="HI131" s="1"/>
      <c r="HJ131" s="1"/>
      <c r="HK131" s="1"/>
      <c r="HL131" s="1"/>
      <c r="HM131" s="1"/>
      <c r="HN131" s="1"/>
      <c r="HO131" s="1"/>
      <c r="HP131" s="1"/>
      <c r="HQ131" s="1"/>
      <c r="HR131" s="1"/>
      <c r="HS131" s="1"/>
      <c r="HT131" s="1"/>
      <c r="HU131" s="1"/>
      <c r="HV131" s="1"/>
      <c r="HW131" s="1"/>
      <c r="HX131" s="1"/>
      <c r="HY131" s="1"/>
      <c r="HZ131" s="1"/>
      <c r="IA131" s="1"/>
      <c r="IB131" s="1"/>
      <c r="IC131" s="1"/>
      <c r="ID131" s="1"/>
      <c r="IE131" s="1"/>
      <c r="IF131" s="1"/>
      <c r="IG131" s="1"/>
      <c r="IH131" s="1"/>
      <c r="II131" s="1"/>
      <c r="IJ131" s="1"/>
      <c r="IK131" s="1"/>
      <c r="IL131" s="1"/>
      <c r="IM131" s="1"/>
      <c r="IN131" s="1"/>
      <c r="IO131" s="1"/>
      <c r="IP131" s="1"/>
      <c r="IQ131" s="1"/>
      <c r="IR131" s="1"/>
      <c r="IS131" s="1"/>
      <c r="IT131" s="1"/>
      <c r="IU131" s="1"/>
      <c r="IV131" s="1"/>
      <c r="IW131" s="1"/>
      <c r="IX131" s="1"/>
      <c r="IY131" s="1"/>
      <c r="IZ131" s="1"/>
      <c r="JA131" s="1"/>
      <c r="JB131" s="1"/>
      <c r="JC131" s="1"/>
      <c r="JD131" s="1"/>
      <c r="JE131" s="1"/>
      <c r="JF131" s="1"/>
      <c r="JG131" s="1"/>
      <c r="JH131" s="1"/>
      <c r="JI131" s="1"/>
      <c r="JJ131" s="1"/>
      <c r="JK131" s="1"/>
      <c r="JL131" s="1"/>
      <c r="JM131" s="1"/>
      <c r="JN131" s="1"/>
      <c r="JO131" s="1"/>
      <c r="JP131" s="1"/>
      <c r="JQ131" s="1"/>
      <c r="JR131" s="1"/>
      <c r="JS131" s="1"/>
      <c r="JT131" s="1"/>
      <c r="JU131" s="1"/>
      <c r="JV131" s="1"/>
      <c r="JW131" s="1"/>
      <c r="JX131" s="1"/>
      <c r="JY131" s="1"/>
      <c r="JZ131" s="1"/>
      <c r="KA131" s="1"/>
      <c r="KB131" s="1"/>
      <c r="KC131" s="1"/>
      <c r="KD131" s="1"/>
      <c r="KE131" s="1"/>
      <c r="KF131" s="1"/>
      <c r="KG131" s="1"/>
      <c r="KH131" s="1"/>
      <c r="KI131" s="1"/>
      <c r="KJ131" s="1"/>
      <c r="KK131" s="1"/>
      <c r="KL131" s="1"/>
      <c r="KM131" s="1"/>
      <c r="KN131" s="1"/>
      <c r="KO131" s="1"/>
      <c r="KP131" s="1"/>
      <c r="KQ131" s="1"/>
    </row>
    <row r="132" spans="1:303" s="3" customFormat="1" ht="65.099999999999994" customHeight="1" x14ac:dyDescent="0.25">
      <c r="A132" s="354" t="s">
        <v>79</v>
      </c>
      <c r="B132" s="354" t="s">
        <v>80</v>
      </c>
      <c r="C132" s="354" t="s">
        <v>81</v>
      </c>
      <c r="D132" s="354" t="s">
        <v>82</v>
      </c>
      <c r="E132" s="354" t="s">
        <v>83</v>
      </c>
      <c r="F132" s="354" t="s">
        <v>84</v>
      </c>
      <c r="G132" s="354" t="s">
        <v>85</v>
      </c>
      <c r="H132" s="354" t="s">
        <v>626</v>
      </c>
      <c r="I132" s="354" t="s">
        <v>649</v>
      </c>
      <c r="J132" s="358" t="s">
        <v>994</v>
      </c>
      <c r="K132" s="348" t="s">
        <v>12</v>
      </c>
      <c r="L132" s="348" t="s">
        <v>652</v>
      </c>
      <c r="M132" s="846" t="s">
        <v>1015</v>
      </c>
      <c r="N132" s="361" t="s">
        <v>444</v>
      </c>
      <c r="O132" s="361" t="s">
        <v>445</v>
      </c>
      <c r="P132" s="922">
        <v>39542136.277533107</v>
      </c>
      <c r="Q132" s="364" t="s">
        <v>654</v>
      </c>
      <c r="R132" s="364" t="s">
        <v>213</v>
      </c>
      <c r="S132" s="512">
        <v>6</v>
      </c>
      <c r="T132" s="485" t="s">
        <v>1016</v>
      </c>
      <c r="U132" s="485" t="s">
        <v>1017</v>
      </c>
      <c r="V132" s="494" t="s">
        <v>998</v>
      </c>
      <c r="W132" s="505" t="s">
        <v>1018</v>
      </c>
      <c r="X132" s="454">
        <v>0</v>
      </c>
      <c r="Y132" s="454">
        <v>0</v>
      </c>
      <c r="Z132" s="454">
        <v>0.5</v>
      </c>
      <c r="AA132" s="524">
        <v>0.5</v>
      </c>
      <c r="AB132" s="525">
        <v>7.15</v>
      </c>
      <c r="AC132" s="413">
        <v>1.3333333333333333</v>
      </c>
      <c r="AD132" s="413">
        <v>0.40317457142857144</v>
      </c>
      <c r="AE132" s="413">
        <v>0.4</v>
      </c>
      <c r="AF132" s="692">
        <f t="shared" si="91"/>
        <v>0</v>
      </c>
      <c r="AG132" s="693" t="s">
        <v>146</v>
      </c>
      <c r="AH132" s="698">
        <v>0</v>
      </c>
      <c r="AI132" s="696"/>
      <c r="AJ132" s="697" t="s">
        <v>1000</v>
      </c>
      <c r="AK132" s="693"/>
      <c r="AL132" s="692">
        <f t="shared" si="77"/>
        <v>0</v>
      </c>
      <c r="AM132" s="697" t="s">
        <v>121</v>
      </c>
      <c r="AN132" s="693">
        <f t="shared" si="78"/>
        <v>0</v>
      </c>
      <c r="AO132" s="693">
        <f t="shared" si="79"/>
        <v>0</v>
      </c>
      <c r="AP132" s="693">
        <f t="shared" si="80"/>
        <v>0</v>
      </c>
      <c r="AQ132" s="696"/>
      <c r="AR132" s="401">
        <f t="shared" si="92"/>
        <v>0</v>
      </c>
      <c r="AS132" s="402" t="s">
        <v>146</v>
      </c>
      <c r="AT132" s="405">
        <v>0</v>
      </c>
      <c r="AU132" s="627"/>
      <c r="AV132" s="627" t="s">
        <v>1019</v>
      </c>
      <c r="AW132" s="729"/>
      <c r="AX132" s="397">
        <f t="shared" si="82"/>
        <v>0</v>
      </c>
      <c r="AY132" s="400" t="s">
        <v>121</v>
      </c>
      <c r="AZ132" s="398">
        <f t="shared" si="83"/>
        <v>0</v>
      </c>
      <c r="BA132" s="398">
        <f t="shared" si="84"/>
        <v>0</v>
      </c>
      <c r="BB132" s="398">
        <f t="shared" si="85"/>
        <v>0</v>
      </c>
      <c r="BC132" s="18"/>
      <c r="BD132" s="14">
        <f t="shared" si="86"/>
        <v>0.5</v>
      </c>
      <c r="BE132" s="645" t="s">
        <v>100</v>
      </c>
      <c r="BF132" s="771">
        <f>4/4</f>
        <v>1</v>
      </c>
      <c r="BG132" s="754"/>
      <c r="BH132" s="680" t="s">
        <v>1020</v>
      </c>
      <c r="BI132" s="658" t="str">
        <f t="shared" si="63"/>
        <v>ALTO</v>
      </c>
      <c r="BJ132" s="681">
        <f t="shared" si="87"/>
        <v>0.5</v>
      </c>
      <c r="BK132" s="680" t="s">
        <v>1021</v>
      </c>
      <c r="BL132" s="682">
        <f t="shared" si="64"/>
        <v>6.9930069930069921E-2</v>
      </c>
      <c r="BM132" s="682">
        <f t="shared" si="65"/>
        <v>0.375</v>
      </c>
      <c r="BN132" s="682">
        <f t="shared" si="66"/>
        <v>1.2401575779651637</v>
      </c>
      <c r="BO132" s="754"/>
      <c r="BP132" s="888">
        <v>0.5</v>
      </c>
      <c r="BQ132" s="854" t="s">
        <v>105</v>
      </c>
      <c r="BR132" s="876">
        <f>100/100</f>
        <v>1</v>
      </c>
      <c r="BS132" s="889"/>
      <c r="BT132" s="856" t="s">
        <v>1022</v>
      </c>
      <c r="BU132" s="905" t="str">
        <f t="shared" si="88"/>
        <v>ALTO</v>
      </c>
      <c r="BV132" s="875">
        <f t="shared" si="89"/>
        <v>0.5</v>
      </c>
      <c r="BW132" s="859" t="s">
        <v>1023</v>
      </c>
      <c r="BX132" s="857">
        <f t="shared" si="67"/>
        <v>3.5750000000000002</v>
      </c>
      <c r="BY132" s="857">
        <f t="shared" si="68"/>
        <v>0.66666666666666663</v>
      </c>
      <c r="BZ132" s="857">
        <f t="shared" si="69"/>
        <v>0.20158728571428572</v>
      </c>
      <c r="CA132" s="857">
        <f t="shared" si="70"/>
        <v>0.2</v>
      </c>
      <c r="CB132" s="16">
        <f t="shared" si="71"/>
        <v>1</v>
      </c>
      <c r="CC132" s="16">
        <f t="shared" si="72"/>
        <v>0</v>
      </c>
      <c r="CD132" s="16">
        <f t="shared" si="74"/>
        <v>1</v>
      </c>
      <c r="CE132" s="16">
        <f t="shared" si="75"/>
        <v>1</v>
      </c>
      <c r="CF132" s="16" t="e">
        <f>SUM(#REF!/(CC132+CB132))</f>
        <v>#REF!</v>
      </c>
      <c r="CG132" s="19"/>
      <c r="CH132" s="19"/>
      <c r="CI132" s="19"/>
      <c r="CJ132" s="19"/>
      <c r="CV132" s="346">
        <f t="shared" si="90"/>
        <v>1</v>
      </c>
    </row>
    <row r="133" spans="1:303" s="5" customFormat="1" ht="65.099999999999994" customHeight="1" x14ac:dyDescent="0.25">
      <c r="A133" s="354" t="s">
        <v>79</v>
      </c>
      <c r="B133" s="354" t="s">
        <v>80</v>
      </c>
      <c r="C133" s="354" t="s">
        <v>81</v>
      </c>
      <c r="D133" s="354" t="s">
        <v>82</v>
      </c>
      <c r="E133" s="354" t="s">
        <v>83</v>
      </c>
      <c r="F133" s="354" t="s">
        <v>84</v>
      </c>
      <c r="G133" s="354" t="s">
        <v>85</v>
      </c>
      <c r="H133" s="354" t="s">
        <v>626</v>
      </c>
      <c r="I133" s="354" t="s">
        <v>649</v>
      </c>
      <c r="J133" s="358" t="s">
        <v>994</v>
      </c>
      <c r="K133" s="348" t="s">
        <v>12</v>
      </c>
      <c r="L133" s="348" t="s">
        <v>652</v>
      </c>
      <c r="M133" s="846" t="s">
        <v>1024</v>
      </c>
      <c r="N133" s="361" t="s">
        <v>444</v>
      </c>
      <c r="O133" s="361" t="s">
        <v>445</v>
      </c>
      <c r="P133" s="922">
        <v>39542136.277533107</v>
      </c>
      <c r="Q133" s="364" t="s">
        <v>654</v>
      </c>
      <c r="R133" s="364" t="s">
        <v>213</v>
      </c>
      <c r="S133" s="512">
        <v>4</v>
      </c>
      <c r="T133" s="485" t="s">
        <v>1025</v>
      </c>
      <c r="U133" s="485" t="s">
        <v>1026</v>
      </c>
      <c r="V133" s="494" t="s">
        <v>998</v>
      </c>
      <c r="W133" s="505" t="s">
        <v>1027</v>
      </c>
      <c r="X133" s="454">
        <v>0</v>
      </c>
      <c r="Y133" s="454">
        <v>0</v>
      </c>
      <c r="Z133" s="454">
        <v>0.5</v>
      </c>
      <c r="AA133" s="524">
        <v>0.5</v>
      </c>
      <c r="AB133" s="525">
        <v>7.15</v>
      </c>
      <c r="AC133" s="413">
        <v>1.3333333333333333</v>
      </c>
      <c r="AD133" s="413">
        <v>0.40317457142857144</v>
      </c>
      <c r="AE133" s="413">
        <v>0.4</v>
      </c>
      <c r="AF133" s="692">
        <f t="shared" si="91"/>
        <v>0</v>
      </c>
      <c r="AG133" s="693" t="s">
        <v>146</v>
      </c>
      <c r="AH133" s="698">
        <v>0</v>
      </c>
      <c r="AI133" s="710"/>
      <c r="AJ133" s="697" t="s">
        <v>1000</v>
      </c>
      <c r="AK133" s="693"/>
      <c r="AL133" s="692">
        <f t="shared" si="77"/>
        <v>0</v>
      </c>
      <c r="AM133" s="697" t="s">
        <v>121</v>
      </c>
      <c r="AN133" s="693">
        <f t="shared" si="78"/>
        <v>0</v>
      </c>
      <c r="AO133" s="693">
        <f t="shared" si="79"/>
        <v>0</v>
      </c>
      <c r="AP133" s="693">
        <f t="shared" si="80"/>
        <v>0</v>
      </c>
      <c r="AQ133" s="693"/>
      <c r="AR133" s="401">
        <f t="shared" si="92"/>
        <v>0</v>
      </c>
      <c r="AS133" s="402" t="s">
        <v>146</v>
      </c>
      <c r="AT133" s="405">
        <v>0</v>
      </c>
      <c r="AU133" s="628"/>
      <c r="AV133" s="628" t="s">
        <v>1028</v>
      </c>
      <c r="AW133" s="729"/>
      <c r="AX133" s="397">
        <f t="shared" si="82"/>
        <v>0</v>
      </c>
      <c r="AY133" s="400" t="s">
        <v>121</v>
      </c>
      <c r="AZ133" s="398">
        <f t="shared" si="83"/>
        <v>0</v>
      </c>
      <c r="BA133" s="398">
        <f t="shared" si="84"/>
        <v>0</v>
      </c>
      <c r="BB133" s="398">
        <f t="shared" si="85"/>
        <v>0</v>
      </c>
      <c r="BC133" s="15"/>
      <c r="BD133" s="14">
        <f t="shared" si="86"/>
        <v>0.5</v>
      </c>
      <c r="BE133" s="645" t="s">
        <v>100</v>
      </c>
      <c r="BF133" s="679">
        <v>0</v>
      </c>
      <c r="BG133" s="658"/>
      <c r="BH133" s="659" t="s">
        <v>1029</v>
      </c>
      <c r="BI133" s="658" t="str">
        <f t="shared" si="63"/>
        <v>BAJO</v>
      </c>
      <c r="BJ133" s="681">
        <f t="shared" si="87"/>
        <v>0</v>
      </c>
      <c r="BK133" s="658" t="s">
        <v>982</v>
      </c>
      <c r="BL133" s="682">
        <f t="shared" si="64"/>
        <v>0</v>
      </c>
      <c r="BM133" s="682">
        <f t="shared" si="65"/>
        <v>0</v>
      </c>
      <c r="BN133" s="682">
        <f t="shared" si="66"/>
        <v>0</v>
      </c>
      <c r="BO133" s="658"/>
      <c r="BP133" s="888">
        <v>0.5</v>
      </c>
      <c r="BQ133" s="854" t="s">
        <v>105</v>
      </c>
      <c r="BR133" s="876">
        <f>75/100</f>
        <v>0.75</v>
      </c>
      <c r="BS133" s="889"/>
      <c r="BT133" s="856" t="s">
        <v>1030</v>
      </c>
      <c r="BU133" s="906" t="str">
        <f t="shared" si="88"/>
        <v>MEDIO</v>
      </c>
      <c r="BV133" s="875">
        <f t="shared" si="89"/>
        <v>0.375</v>
      </c>
      <c r="BW133" s="859" t="s">
        <v>1031</v>
      </c>
      <c r="BX133" s="857">
        <f t="shared" si="67"/>
        <v>2.6812500000000004</v>
      </c>
      <c r="BY133" s="857">
        <f t="shared" si="68"/>
        <v>0.5</v>
      </c>
      <c r="BZ133" s="857">
        <f t="shared" si="69"/>
        <v>0.15119046428571428</v>
      </c>
      <c r="CA133" s="857">
        <f t="shared" si="70"/>
        <v>0.15000000000000002</v>
      </c>
      <c r="CB133" s="16">
        <f t="shared" si="71"/>
        <v>1</v>
      </c>
      <c r="CC133" s="16">
        <f t="shared" si="72"/>
        <v>0</v>
      </c>
      <c r="CD133" s="16">
        <f t="shared" si="74"/>
        <v>1</v>
      </c>
      <c r="CE133" s="16">
        <f t="shared" si="75"/>
        <v>0.375</v>
      </c>
      <c r="CF133" s="16" t="e">
        <f>SUM(#REF!/(CC133+CB133))</f>
        <v>#REF!</v>
      </c>
      <c r="CG133" s="17"/>
      <c r="CH133" s="17"/>
      <c r="CI133" s="17"/>
      <c r="CJ133" s="17"/>
      <c r="CK133" s="1"/>
      <c r="CL133" s="1"/>
      <c r="CM133" s="1"/>
      <c r="CN133" s="1"/>
      <c r="CO133" s="1"/>
      <c r="CP133" s="1"/>
      <c r="CQ133" s="1"/>
      <c r="CR133" s="1"/>
      <c r="CS133" s="1"/>
      <c r="CT133" s="1"/>
      <c r="CU133" s="1"/>
      <c r="CV133" s="346">
        <f t="shared" si="90"/>
        <v>1</v>
      </c>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
      <c r="FK133" s="1"/>
      <c r="FL133" s="1"/>
      <c r="FM133" s="1"/>
      <c r="FN133" s="1"/>
      <c r="FO133" s="1"/>
      <c r="FP133" s="1"/>
      <c r="FQ133" s="1"/>
      <c r="FR133" s="1"/>
      <c r="FS133" s="1"/>
      <c r="FT133" s="1"/>
      <c r="FU133" s="1"/>
      <c r="FV133" s="1"/>
      <c r="FW133" s="1"/>
      <c r="FX133" s="1"/>
      <c r="FY133" s="1"/>
      <c r="FZ133" s="1"/>
      <c r="GA133" s="1"/>
      <c r="GB133" s="1"/>
      <c r="GC133" s="1"/>
      <c r="GD133" s="1"/>
      <c r="GE133" s="1"/>
      <c r="GF133" s="1"/>
      <c r="GG133" s="1"/>
      <c r="GH133" s="1"/>
      <c r="GI133" s="1"/>
      <c r="GJ133" s="1"/>
      <c r="GK133" s="1"/>
      <c r="GL133" s="1"/>
      <c r="GM133" s="1"/>
      <c r="GN133" s="1"/>
      <c r="GO133" s="1"/>
      <c r="GP133" s="1"/>
      <c r="GQ133" s="1"/>
      <c r="GR133" s="1"/>
      <c r="GS133" s="1"/>
      <c r="GT133" s="1"/>
      <c r="GU133" s="1"/>
      <c r="GV133" s="1"/>
      <c r="GW133" s="1"/>
      <c r="GX133" s="1"/>
      <c r="GY133" s="1"/>
      <c r="GZ133" s="1"/>
      <c r="HA133" s="1"/>
      <c r="HB133" s="1"/>
      <c r="HC133" s="1"/>
      <c r="HD133" s="1"/>
      <c r="HE133" s="1"/>
      <c r="HF133" s="1"/>
      <c r="HG133" s="1"/>
      <c r="HH133" s="1"/>
      <c r="HI133" s="1"/>
      <c r="HJ133" s="1"/>
      <c r="HK133" s="1"/>
      <c r="HL133" s="1"/>
      <c r="HM133" s="1"/>
      <c r="HN133" s="1"/>
      <c r="HO133" s="1"/>
      <c r="HP133" s="1"/>
      <c r="HQ133" s="1"/>
      <c r="HR133" s="1"/>
      <c r="HS133" s="1"/>
      <c r="HT133" s="1"/>
      <c r="HU133" s="1"/>
      <c r="HV133" s="1"/>
      <c r="HW133" s="1"/>
      <c r="HX133" s="1"/>
      <c r="HY133" s="1"/>
      <c r="HZ133" s="1"/>
      <c r="IA133" s="1"/>
      <c r="IB133" s="1"/>
      <c r="IC133" s="1"/>
      <c r="ID133" s="1"/>
      <c r="IE133" s="1"/>
      <c r="IF133" s="1"/>
      <c r="IG133" s="1"/>
      <c r="IH133" s="1"/>
      <c r="II133" s="1"/>
      <c r="IJ133" s="1"/>
      <c r="IK133" s="1"/>
      <c r="IL133" s="1"/>
      <c r="IM133" s="1"/>
      <c r="IN133" s="1"/>
      <c r="IO133" s="1"/>
      <c r="IP133" s="1"/>
      <c r="IQ133" s="1"/>
      <c r="IR133" s="1"/>
      <c r="IS133" s="1"/>
      <c r="IT133" s="1"/>
      <c r="IU133" s="1"/>
      <c r="IV133" s="1"/>
      <c r="IW133" s="1"/>
      <c r="IX133" s="1"/>
      <c r="IY133" s="1"/>
      <c r="IZ133" s="1"/>
      <c r="JA133" s="1"/>
      <c r="JB133" s="1"/>
      <c r="JC133" s="1"/>
      <c r="JD133" s="1"/>
      <c r="JE133" s="1"/>
      <c r="JF133" s="1"/>
      <c r="JG133" s="1"/>
      <c r="JH133" s="1"/>
      <c r="JI133" s="1"/>
      <c r="JJ133" s="1"/>
      <c r="JK133" s="1"/>
      <c r="JL133" s="1"/>
      <c r="JM133" s="1"/>
      <c r="JN133" s="1"/>
      <c r="JO133" s="1"/>
      <c r="JP133" s="1"/>
      <c r="JQ133" s="1"/>
      <c r="JR133" s="1"/>
      <c r="JS133" s="1"/>
      <c r="JT133" s="1"/>
      <c r="JU133" s="1"/>
      <c r="JV133" s="1"/>
      <c r="JW133" s="1"/>
      <c r="JX133" s="1"/>
      <c r="JY133" s="1"/>
      <c r="JZ133" s="1"/>
      <c r="KA133" s="1"/>
      <c r="KB133" s="1"/>
      <c r="KC133" s="1"/>
      <c r="KD133" s="1"/>
      <c r="KE133" s="1"/>
      <c r="KF133" s="1"/>
      <c r="KG133" s="1"/>
      <c r="KH133" s="1"/>
      <c r="KI133" s="1"/>
      <c r="KJ133" s="1"/>
      <c r="KK133" s="1"/>
      <c r="KL133" s="1"/>
      <c r="KM133" s="1"/>
      <c r="KN133" s="1"/>
      <c r="KO133" s="1"/>
      <c r="KP133" s="1"/>
      <c r="KQ133" s="1"/>
    </row>
    <row r="134" spans="1:303" s="5" customFormat="1" ht="94.5" customHeight="1" x14ac:dyDescent="0.25">
      <c r="A134" s="354" t="s">
        <v>79</v>
      </c>
      <c r="B134" s="354" t="s">
        <v>80</v>
      </c>
      <c r="C134" s="354" t="s">
        <v>81</v>
      </c>
      <c r="D134" s="354" t="s">
        <v>82</v>
      </c>
      <c r="E134" s="354" t="s">
        <v>83</v>
      </c>
      <c r="F134" s="354" t="s">
        <v>84</v>
      </c>
      <c r="G134" s="354" t="s">
        <v>85</v>
      </c>
      <c r="H134" s="354" t="s">
        <v>626</v>
      </c>
      <c r="I134" s="354" t="s">
        <v>649</v>
      </c>
      <c r="J134" s="358" t="s">
        <v>994</v>
      </c>
      <c r="K134" s="348" t="s">
        <v>12</v>
      </c>
      <c r="L134" s="348" t="s">
        <v>652</v>
      </c>
      <c r="M134" s="846" t="s">
        <v>1032</v>
      </c>
      <c r="N134" s="361" t="s">
        <v>444</v>
      </c>
      <c r="O134" s="361" t="s">
        <v>445</v>
      </c>
      <c r="P134" s="922">
        <v>39542136.277533107</v>
      </c>
      <c r="Q134" s="364" t="s">
        <v>654</v>
      </c>
      <c r="R134" s="364" t="s">
        <v>213</v>
      </c>
      <c r="S134" s="512">
        <v>9</v>
      </c>
      <c r="T134" s="485" t="s">
        <v>1033</v>
      </c>
      <c r="U134" s="485" t="s">
        <v>1034</v>
      </c>
      <c r="V134" s="494" t="s">
        <v>998</v>
      </c>
      <c r="W134" s="505" t="s">
        <v>1035</v>
      </c>
      <c r="X134" s="454">
        <v>0</v>
      </c>
      <c r="Y134" s="454">
        <v>0.33</v>
      </c>
      <c r="Z134" s="454">
        <v>0.33</v>
      </c>
      <c r="AA134" s="524">
        <v>0.34</v>
      </c>
      <c r="AB134" s="525">
        <v>7.14</v>
      </c>
      <c r="AC134" s="413">
        <v>1.3333333333333333</v>
      </c>
      <c r="AD134" s="413">
        <v>0.40317457142857144</v>
      </c>
      <c r="AE134" s="413">
        <v>0.4</v>
      </c>
      <c r="AF134" s="692">
        <f t="shared" si="91"/>
        <v>0</v>
      </c>
      <c r="AG134" s="693" t="s">
        <v>146</v>
      </c>
      <c r="AH134" s="698">
        <v>0</v>
      </c>
      <c r="AI134" s="710"/>
      <c r="AJ134" s="697" t="s">
        <v>1000</v>
      </c>
      <c r="AK134" s="693"/>
      <c r="AL134" s="692">
        <f t="shared" si="77"/>
        <v>0</v>
      </c>
      <c r="AM134" s="697" t="s">
        <v>121</v>
      </c>
      <c r="AN134" s="693">
        <f t="shared" si="78"/>
        <v>0</v>
      </c>
      <c r="AO134" s="693">
        <f t="shared" si="79"/>
        <v>0</v>
      </c>
      <c r="AP134" s="693">
        <f t="shared" si="80"/>
        <v>0</v>
      </c>
      <c r="AQ134" s="693"/>
      <c r="AR134" s="401">
        <f t="shared" si="92"/>
        <v>0.33</v>
      </c>
      <c r="AS134" s="402" t="s">
        <v>100</v>
      </c>
      <c r="AT134" s="405">
        <v>0</v>
      </c>
      <c r="AU134" s="628"/>
      <c r="AV134" s="628" t="s">
        <v>1036</v>
      </c>
      <c r="AW134" s="729" t="str">
        <f t="shared" si="81"/>
        <v>BAJO</v>
      </c>
      <c r="AX134" s="397">
        <f t="shared" si="82"/>
        <v>0</v>
      </c>
      <c r="AY134" s="399" t="s">
        <v>1037</v>
      </c>
      <c r="AZ134" s="398">
        <f t="shared" si="83"/>
        <v>0</v>
      </c>
      <c r="BA134" s="398">
        <f t="shared" si="84"/>
        <v>0</v>
      </c>
      <c r="BB134" s="398">
        <f t="shared" si="85"/>
        <v>0</v>
      </c>
      <c r="BC134" s="15"/>
      <c r="BD134" s="14">
        <f t="shared" si="86"/>
        <v>0.33</v>
      </c>
      <c r="BE134" s="645" t="s">
        <v>100</v>
      </c>
      <c r="BF134" s="772">
        <f>1/3</f>
        <v>0.33333333333333331</v>
      </c>
      <c r="BG134" s="658"/>
      <c r="BH134" s="680" t="s">
        <v>1038</v>
      </c>
      <c r="BI134" s="658" t="str">
        <f t="shared" si="63"/>
        <v>BAJO</v>
      </c>
      <c r="BJ134" s="681">
        <f t="shared" si="87"/>
        <v>0.11</v>
      </c>
      <c r="BK134" s="647" t="s">
        <v>1039</v>
      </c>
      <c r="BL134" s="682">
        <f t="shared" si="64"/>
        <v>1.5406162464985995E-2</v>
      </c>
      <c r="BM134" s="682">
        <f t="shared" si="65"/>
        <v>8.2500000000000004E-2</v>
      </c>
      <c r="BN134" s="682">
        <f t="shared" si="66"/>
        <v>0.27283466715233601</v>
      </c>
      <c r="BO134" s="658"/>
      <c r="BP134" s="888">
        <v>0.34</v>
      </c>
      <c r="BQ134" s="854" t="s">
        <v>105</v>
      </c>
      <c r="BR134" s="876">
        <f>77/100</f>
        <v>0.77</v>
      </c>
      <c r="BS134" s="889"/>
      <c r="BT134" s="877" t="s">
        <v>1040</v>
      </c>
      <c r="BU134" s="906" t="str">
        <f t="shared" si="88"/>
        <v>MEDIO</v>
      </c>
      <c r="BV134" s="875">
        <f t="shared" si="89"/>
        <v>0.26180000000000003</v>
      </c>
      <c r="BW134" s="859" t="s">
        <v>1041</v>
      </c>
      <c r="BX134" s="857">
        <f t="shared" si="67"/>
        <v>1.8692520000000001</v>
      </c>
      <c r="BY134" s="857">
        <f t="shared" si="68"/>
        <v>0.34906666666666669</v>
      </c>
      <c r="BZ134" s="857">
        <f t="shared" si="69"/>
        <v>0.10555110280000002</v>
      </c>
      <c r="CA134" s="857">
        <f t="shared" si="70"/>
        <v>0.10472000000000002</v>
      </c>
      <c r="CB134" s="16">
        <f t="shared" si="71"/>
        <v>0.67</v>
      </c>
      <c r="CC134" s="16">
        <f t="shared" si="72"/>
        <v>0.33</v>
      </c>
      <c r="CD134" s="16">
        <f t="shared" si="74"/>
        <v>1</v>
      </c>
      <c r="CE134" s="16">
        <f t="shared" si="75"/>
        <v>0.37180000000000002</v>
      </c>
      <c r="CF134" s="16" t="e">
        <f>SUM(#REF!/(CC134+CB134))</f>
        <v>#REF!</v>
      </c>
      <c r="CG134" s="17"/>
      <c r="CH134" s="17"/>
      <c r="CI134" s="17"/>
      <c r="CJ134" s="17"/>
      <c r="CK134" s="1"/>
      <c r="CL134" s="1"/>
      <c r="CM134" s="1"/>
      <c r="CN134" s="1"/>
      <c r="CO134" s="1"/>
      <c r="CP134" s="1"/>
      <c r="CQ134" s="1"/>
      <c r="CR134" s="1"/>
      <c r="CS134" s="1"/>
      <c r="CT134" s="1"/>
      <c r="CU134" s="1"/>
      <c r="CV134" s="346">
        <f t="shared" si="90"/>
        <v>1</v>
      </c>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c r="FO134" s="1"/>
      <c r="FP134" s="1"/>
      <c r="FQ134" s="1"/>
      <c r="FR134" s="1"/>
      <c r="FS134" s="1"/>
      <c r="FT134" s="1"/>
      <c r="FU134" s="1"/>
      <c r="FV134" s="1"/>
      <c r="FW134" s="1"/>
      <c r="FX134" s="1"/>
      <c r="FY134" s="1"/>
      <c r="FZ134" s="1"/>
      <c r="GA134" s="1"/>
      <c r="GB134" s="1"/>
      <c r="GC134" s="1"/>
      <c r="GD134" s="1"/>
      <c r="GE134" s="1"/>
      <c r="GF134" s="1"/>
      <c r="GG134" s="1"/>
      <c r="GH134" s="1"/>
      <c r="GI134" s="1"/>
      <c r="GJ134" s="1"/>
      <c r="GK134" s="1"/>
      <c r="GL134" s="1"/>
      <c r="GM134" s="1"/>
      <c r="GN134" s="1"/>
      <c r="GO134" s="1"/>
      <c r="GP134" s="1"/>
      <c r="GQ134" s="1"/>
      <c r="GR134" s="1"/>
      <c r="GS134" s="1"/>
      <c r="GT134" s="1"/>
      <c r="GU134" s="1"/>
      <c r="GV134" s="1"/>
      <c r="GW134" s="1"/>
      <c r="GX134" s="1"/>
      <c r="GY134" s="1"/>
      <c r="GZ134" s="1"/>
      <c r="HA134" s="1"/>
      <c r="HB134" s="1"/>
      <c r="HC134" s="1"/>
      <c r="HD134" s="1"/>
      <c r="HE134" s="1"/>
      <c r="HF134" s="1"/>
      <c r="HG134" s="1"/>
      <c r="HH134" s="1"/>
      <c r="HI134" s="1"/>
      <c r="HJ134" s="1"/>
      <c r="HK134" s="1"/>
      <c r="HL134" s="1"/>
      <c r="HM134" s="1"/>
      <c r="HN134" s="1"/>
      <c r="HO134" s="1"/>
      <c r="HP134" s="1"/>
      <c r="HQ134" s="1"/>
      <c r="HR134" s="1"/>
      <c r="HS134" s="1"/>
      <c r="HT134" s="1"/>
      <c r="HU134" s="1"/>
      <c r="HV134" s="1"/>
      <c r="HW134" s="1"/>
      <c r="HX134" s="1"/>
      <c r="HY134" s="1"/>
      <c r="HZ134" s="1"/>
      <c r="IA134" s="1"/>
      <c r="IB134" s="1"/>
      <c r="IC134" s="1"/>
      <c r="ID134" s="1"/>
      <c r="IE134" s="1"/>
      <c r="IF134" s="1"/>
      <c r="IG134" s="1"/>
      <c r="IH134" s="1"/>
      <c r="II134" s="1"/>
      <c r="IJ134" s="1"/>
      <c r="IK134" s="1"/>
      <c r="IL134" s="1"/>
      <c r="IM134" s="1"/>
      <c r="IN134" s="1"/>
      <c r="IO134" s="1"/>
      <c r="IP134" s="1"/>
      <c r="IQ134" s="1"/>
      <c r="IR134" s="1"/>
      <c r="IS134" s="1"/>
      <c r="IT134" s="1"/>
      <c r="IU134" s="1"/>
      <c r="IV134" s="1"/>
      <c r="IW134" s="1"/>
      <c r="IX134" s="1"/>
      <c r="IY134" s="1"/>
      <c r="IZ134" s="1"/>
      <c r="JA134" s="1"/>
      <c r="JB134" s="1"/>
      <c r="JC134" s="1"/>
      <c r="JD134" s="1"/>
      <c r="JE134" s="1"/>
      <c r="JF134" s="1"/>
      <c r="JG134" s="1"/>
      <c r="JH134" s="1"/>
      <c r="JI134" s="1"/>
      <c r="JJ134" s="1"/>
      <c r="JK134" s="1"/>
      <c r="JL134" s="1"/>
      <c r="JM134" s="1"/>
      <c r="JN134" s="1"/>
      <c r="JO134" s="1"/>
      <c r="JP134" s="1"/>
      <c r="JQ134" s="1"/>
      <c r="JR134" s="1"/>
      <c r="JS134" s="1"/>
      <c r="JT134" s="1"/>
      <c r="JU134" s="1"/>
      <c r="JV134" s="1"/>
      <c r="JW134" s="1"/>
      <c r="JX134" s="1"/>
      <c r="JY134" s="1"/>
      <c r="JZ134" s="1"/>
      <c r="KA134" s="1"/>
      <c r="KB134" s="1"/>
      <c r="KC134" s="1"/>
      <c r="KD134" s="1"/>
      <c r="KE134" s="1"/>
      <c r="KF134" s="1"/>
      <c r="KG134" s="1"/>
      <c r="KH134" s="1"/>
      <c r="KI134" s="1"/>
      <c r="KJ134" s="1"/>
      <c r="KK134" s="1"/>
      <c r="KL134" s="1"/>
      <c r="KM134" s="1"/>
      <c r="KN134" s="1"/>
      <c r="KO134" s="1"/>
      <c r="KP134" s="1"/>
      <c r="KQ134" s="1"/>
    </row>
    <row r="135" spans="1:303" s="5" customFormat="1" ht="65.099999999999994" customHeight="1" x14ac:dyDescent="0.25">
      <c r="A135" s="354" t="s">
        <v>79</v>
      </c>
      <c r="B135" s="354" t="s">
        <v>80</v>
      </c>
      <c r="C135" s="354" t="s">
        <v>81</v>
      </c>
      <c r="D135" s="354" t="s">
        <v>82</v>
      </c>
      <c r="E135" s="354" t="s">
        <v>83</v>
      </c>
      <c r="F135" s="354" t="s">
        <v>84</v>
      </c>
      <c r="G135" s="354" t="s">
        <v>85</v>
      </c>
      <c r="H135" s="354" t="s">
        <v>626</v>
      </c>
      <c r="I135" s="354" t="s">
        <v>649</v>
      </c>
      <c r="J135" s="358" t="s">
        <v>994</v>
      </c>
      <c r="K135" s="348" t="s">
        <v>12</v>
      </c>
      <c r="L135" s="348" t="s">
        <v>652</v>
      </c>
      <c r="M135" s="846" t="s">
        <v>1042</v>
      </c>
      <c r="N135" s="361" t="s">
        <v>444</v>
      </c>
      <c r="O135" s="361" t="s">
        <v>445</v>
      </c>
      <c r="P135" s="922">
        <v>39542136.277533107</v>
      </c>
      <c r="Q135" s="364" t="s">
        <v>654</v>
      </c>
      <c r="R135" s="364" t="s">
        <v>213</v>
      </c>
      <c r="S135" s="512">
        <v>4</v>
      </c>
      <c r="T135" s="485" t="s">
        <v>1043</v>
      </c>
      <c r="U135" s="485" t="s">
        <v>1044</v>
      </c>
      <c r="V135" s="494" t="s">
        <v>998</v>
      </c>
      <c r="W135" s="505" t="s">
        <v>1045</v>
      </c>
      <c r="X135" s="454">
        <v>0</v>
      </c>
      <c r="Y135" s="454">
        <v>0.33</v>
      </c>
      <c r="Z135" s="454">
        <v>0.33</v>
      </c>
      <c r="AA135" s="524">
        <v>0.34</v>
      </c>
      <c r="AB135" s="525">
        <v>7.14</v>
      </c>
      <c r="AC135" s="413">
        <v>1.3333333333333333</v>
      </c>
      <c r="AD135" s="413">
        <v>0.40317457142857144</v>
      </c>
      <c r="AE135" s="413">
        <v>0.4</v>
      </c>
      <c r="AF135" s="692">
        <f t="shared" si="91"/>
        <v>0</v>
      </c>
      <c r="AG135" s="693" t="s">
        <v>146</v>
      </c>
      <c r="AH135" s="698">
        <v>0</v>
      </c>
      <c r="AI135" s="710"/>
      <c r="AJ135" s="697" t="s">
        <v>1000</v>
      </c>
      <c r="AK135" s="693"/>
      <c r="AL135" s="692">
        <f t="shared" si="77"/>
        <v>0</v>
      </c>
      <c r="AM135" s="697" t="s">
        <v>121</v>
      </c>
      <c r="AN135" s="693">
        <f t="shared" si="78"/>
        <v>0</v>
      </c>
      <c r="AO135" s="693">
        <f t="shared" si="79"/>
        <v>0</v>
      </c>
      <c r="AP135" s="693">
        <f t="shared" si="80"/>
        <v>0</v>
      </c>
      <c r="AQ135" s="693"/>
      <c r="AR135" s="401">
        <f t="shared" si="92"/>
        <v>0.33</v>
      </c>
      <c r="AS135" s="402" t="s">
        <v>100</v>
      </c>
      <c r="AT135" s="405">
        <v>0</v>
      </c>
      <c r="AU135" s="628"/>
      <c r="AV135" s="628" t="s">
        <v>1046</v>
      </c>
      <c r="AW135" s="729" t="str">
        <f t="shared" si="81"/>
        <v>BAJO</v>
      </c>
      <c r="AX135" s="397">
        <f t="shared" si="82"/>
        <v>0</v>
      </c>
      <c r="AY135" s="399" t="s">
        <v>1047</v>
      </c>
      <c r="AZ135" s="398">
        <f t="shared" si="83"/>
        <v>0</v>
      </c>
      <c r="BA135" s="398">
        <f t="shared" si="84"/>
        <v>0</v>
      </c>
      <c r="BB135" s="398">
        <f t="shared" si="85"/>
        <v>0</v>
      </c>
      <c r="BC135" s="15"/>
      <c r="BD135" s="14">
        <f t="shared" si="86"/>
        <v>0.33</v>
      </c>
      <c r="BE135" s="645" t="s">
        <v>100</v>
      </c>
      <c r="BF135" s="646">
        <v>0</v>
      </c>
      <c r="BG135" s="658"/>
      <c r="BH135" s="680" t="s">
        <v>1048</v>
      </c>
      <c r="BI135" s="658" t="str">
        <f t="shared" si="63"/>
        <v>BAJO</v>
      </c>
      <c r="BJ135" s="681">
        <f t="shared" si="87"/>
        <v>0</v>
      </c>
      <c r="BK135" s="647" t="s">
        <v>1049</v>
      </c>
      <c r="BL135" s="682">
        <f t="shared" si="64"/>
        <v>0</v>
      </c>
      <c r="BM135" s="682">
        <f t="shared" si="65"/>
        <v>0</v>
      </c>
      <c r="BN135" s="682">
        <f t="shared" si="66"/>
        <v>0</v>
      </c>
      <c r="BO135" s="658"/>
      <c r="BP135" s="888">
        <v>0.34</v>
      </c>
      <c r="BQ135" s="854" t="s">
        <v>105</v>
      </c>
      <c r="BR135" s="876">
        <f>100/100</f>
        <v>1</v>
      </c>
      <c r="BS135" s="889"/>
      <c r="BT135" s="856" t="s">
        <v>1050</v>
      </c>
      <c r="BU135" s="905" t="str">
        <f t="shared" si="88"/>
        <v>ALTO</v>
      </c>
      <c r="BV135" s="875">
        <f t="shared" si="89"/>
        <v>0.34</v>
      </c>
      <c r="BW135" s="859" t="s">
        <v>1023</v>
      </c>
      <c r="BX135" s="857">
        <f t="shared" si="67"/>
        <v>2.4276</v>
      </c>
      <c r="BY135" s="857">
        <f t="shared" si="68"/>
        <v>0.45333333333333337</v>
      </c>
      <c r="BZ135" s="857">
        <f t="shared" si="69"/>
        <v>0.1370793542857143</v>
      </c>
      <c r="CA135" s="857">
        <f t="shared" si="70"/>
        <v>0.13600000000000001</v>
      </c>
      <c r="CB135" s="16">
        <f t="shared" si="71"/>
        <v>0.67</v>
      </c>
      <c r="CC135" s="16">
        <f t="shared" si="72"/>
        <v>0.33</v>
      </c>
      <c r="CD135" s="16">
        <f t="shared" si="74"/>
        <v>1</v>
      </c>
      <c r="CE135" s="16">
        <f t="shared" si="75"/>
        <v>0.34</v>
      </c>
      <c r="CF135" s="16" t="e">
        <f>SUM(#REF!/(CC135+CB135))</f>
        <v>#REF!</v>
      </c>
      <c r="CG135" s="17"/>
      <c r="CH135" s="17"/>
      <c r="CI135" s="17"/>
      <c r="CJ135" s="17"/>
      <c r="CK135" s="1"/>
      <c r="CL135" s="1"/>
      <c r="CM135" s="1"/>
      <c r="CN135" s="1"/>
      <c r="CO135" s="1"/>
      <c r="CP135" s="1"/>
      <c r="CQ135" s="1"/>
      <c r="CR135" s="1"/>
      <c r="CS135" s="1"/>
      <c r="CT135" s="1"/>
      <c r="CU135" s="1"/>
      <c r="CV135" s="346">
        <f t="shared" si="90"/>
        <v>1</v>
      </c>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c r="FR135" s="1"/>
      <c r="FS135" s="1"/>
      <c r="FT135" s="1"/>
      <c r="FU135" s="1"/>
      <c r="FV135" s="1"/>
      <c r="FW135" s="1"/>
      <c r="FX135" s="1"/>
      <c r="FY135" s="1"/>
      <c r="FZ135" s="1"/>
      <c r="GA135" s="1"/>
      <c r="GB135" s="1"/>
      <c r="GC135" s="1"/>
      <c r="GD135" s="1"/>
      <c r="GE135" s="1"/>
      <c r="GF135" s="1"/>
      <c r="GG135" s="1"/>
      <c r="GH135" s="1"/>
      <c r="GI135" s="1"/>
      <c r="GJ135" s="1"/>
      <c r="GK135" s="1"/>
      <c r="GL135" s="1"/>
      <c r="GM135" s="1"/>
      <c r="GN135" s="1"/>
      <c r="GO135" s="1"/>
      <c r="GP135" s="1"/>
      <c r="GQ135" s="1"/>
      <c r="GR135" s="1"/>
      <c r="GS135" s="1"/>
      <c r="GT135" s="1"/>
      <c r="GU135" s="1"/>
      <c r="GV135" s="1"/>
      <c r="GW135" s="1"/>
      <c r="GX135" s="1"/>
      <c r="GY135" s="1"/>
      <c r="GZ135" s="1"/>
      <c r="HA135" s="1"/>
      <c r="HB135" s="1"/>
      <c r="HC135" s="1"/>
      <c r="HD135" s="1"/>
      <c r="HE135" s="1"/>
      <c r="HF135" s="1"/>
      <c r="HG135" s="1"/>
      <c r="HH135" s="1"/>
      <c r="HI135" s="1"/>
      <c r="HJ135" s="1"/>
      <c r="HK135" s="1"/>
      <c r="HL135" s="1"/>
      <c r="HM135" s="1"/>
      <c r="HN135" s="1"/>
      <c r="HO135" s="1"/>
      <c r="HP135" s="1"/>
      <c r="HQ135" s="1"/>
      <c r="HR135" s="1"/>
      <c r="HS135" s="1"/>
      <c r="HT135" s="1"/>
      <c r="HU135" s="1"/>
      <c r="HV135" s="1"/>
      <c r="HW135" s="1"/>
      <c r="HX135" s="1"/>
      <c r="HY135" s="1"/>
      <c r="HZ135" s="1"/>
      <c r="IA135" s="1"/>
      <c r="IB135" s="1"/>
      <c r="IC135" s="1"/>
      <c r="ID135" s="1"/>
      <c r="IE135" s="1"/>
      <c r="IF135" s="1"/>
      <c r="IG135" s="1"/>
      <c r="IH135" s="1"/>
      <c r="II135" s="1"/>
      <c r="IJ135" s="1"/>
      <c r="IK135" s="1"/>
      <c r="IL135" s="1"/>
      <c r="IM135" s="1"/>
      <c r="IN135" s="1"/>
      <c r="IO135" s="1"/>
      <c r="IP135" s="1"/>
      <c r="IQ135" s="1"/>
      <c r="IR135" s="1"/>
      <c r="IS135" s="1"/>
      <c r="IT135" s="1"/>
      <c r="IU135" s="1"/>
      <c r="IV135" s="1"/>
      <c r="IW135" s="1"/>
      <c r="IX135" s="1"/>
      <c r="IY135" s="1"/>
      <c r="IZ135" s="1"/>
      <c r="JA135" s="1"/>
      <c r="JB135" s="1"/>
      <c r="JC135" s="1"/>
      <c r="JD135" s="1"/>
      <c r="JE135" s="1"/>
      <c r="JF135" s="1"/>
      <c r="JG135" s="1"/>
      <c r="JH135" s="1"/>
      <c r="JI135" s="1"/>
      <c r="JJ135" s="1"/>
      <c r="JK135" s="1"/>
      <c r="JL135" s="1"/>
      <c r="JM135" s="1"/>
      <c r="JN135" s="1"/>
      <c r="JO135" s="1"/>
      <c r="JP135" s="1"/>
      <c r="JQ135" s="1"/>
      <c r="JR135" s="1"/>
      <c r="JS135" s="1"/>
      <c r="JT135" s="1"/>
      <c r="JU135" s="1"/>
      <c r="JV135" s="1"/>
      <c r="JW135" s="1"/>
      <c r="JX135" s="1"/>
      <c r="JY135" s="1"/>
      <c r="JZ135" s="1"/>
      <c r="KA135" s="1"/>
      <c r="KB135" s="1"/>
      <c r="KC135" s="1"/>
      <c r="KD135" s="1"/>
      <c r="KE135" s="1"/>
      <c r="KF135" s="1"/>
      <c r="KG135" s="1"/>
      <c r="KH135" s="1"/>
      <c r="KI135" s="1"/>
      <c r="KJ135" s="1"/>
      <c r="KK135" s="1"/>
      <c r="KL135" s="1"/>
      <c r="KM135" s="1"/>
      <c r="KN135" s="1"/>
      <c r="KO135" s="1"/>
      <c r="KP135" s="1"/>
      <c r="KQ135" s="1"/>
    </row>
    <row r="136" spans="1:303" s="5" customFormat="1" ht="65.099999999999994" customHeight="1" x14ac:dyDescent="0.25">
      <c r="A136" s="354" t="s">
        <v>79</v>
      </c>
      <c r="B136" s="354" t="s">
        <v>80</v>
      </c>
      <c r="C136" s="354" t="s">
        <v>81</v>
      </c>
      <c r="D136" s="354" t="s">
        <v>82</v>
      </c>
      <c r="E136" s="354" t="s">
        <v>83</v>
      </c>
      <c r="F136" s="354" t="s">
        <v>84</v>
      </c>
      <c r="G136" s="354" t="s">
        <v>85</v>
      </c>
      <c r="H136" s="909" t="s">
        <v>640</v>
      </c>
      <c r="I136" s="909" t="s">
        <v>681</v>
      </c>
      <c r="J136" s="12" t="s">
        <v>682</v>
      </c>
      <c r="K136" s="348" t="s">
        <v>12</v>
      </c>
      <c r="L136" s="348" t="s">
        <v>652</v>
      </c>
      <c r="M136" s="846" t="s">
        <v>1051</v>
      </c>
      <c r="N136" s="361" t="s">
        <v>444</v>
      </c>
      <c r="O136" s="361" t="s">
        <v>445</v>
      </c>
      <c r="P136" s="922">
        <v>39542136.277533107</v>
      </c>
      <c r="Q136" s="364" t="s">
        <v>654</v>
      </c>
      <c r="R136" s="364" t="s">
        <v>213</v>
      </c>
      <c r="S136" s="512">
        <v>1</v>
      </c>
      <c r="T136" s="485" t="s">
        <v>1052</v>
      </c>
      <c r="U136" s="485" t="s">
        <v>1053</v>
      </c>
      <c r="V136" s="494" t="s">
        <v>771</v>
      </c>
      <c r="W136" s="505" t="s">
        <v>1054</v>
      </c>
      <c r="X136" s="454">
        <v>0</v>
      </c>
      <c r="Y136" s="454">
        <v>0.33</v>
      </c>
      <c r="Z136" s="454">
        <v>0.33</v>
      </c>
      <c r="AA136" s="524">
        <v>0.34</v>
      </c>
      <c r="AB136" s="525">
        <v>7.14</v>
      </c>
      <c r="AC136" s="413">
        <v>1.3333333333333333</v>
      </c>
      <c r="AD136" s="413">
        <v>0.40317457142857144</v>
      </c>
      <c r="AE136" s="413">
        <v>0.36666666666666664</v>
      </c>
      <c r="AF136" s="692">
        <f t="shared" si="91"/>
        <v>0</v>
      </c>
      <c r="AG136" s="693" t="s">
        <v>146</v>
      </c>
      <c r="AH136" s="698">
        <v>0</v>
      </c>
      <c r="AI136" s="710"/>
      <c r="AJ136" s="697" t="s">
        <v>1000</v>
      </c>
      <c r="AK136" s="693"/>
      <c r="AL136" s="692">
        <f t="shared" si="77"/>
        <v>0</v>
      </c>
      <c r="AM136" s="697" t="s">
        <v>121</v>
      </c>
      <c r="AN136" s="693">
        <f t="shared" si="78"/>
        <v>0</v>
      </c>
      <c r="AO136" s="693">
        <f t="shared" si="79"/>
        <v>0</v>
      </c>
      <c r="AP136" s="693">
        <f t="shared" si="80"/>
        <v>0</v>
      </c>
      <c r="AQ136" s="693"/>
      <c r="AR136" s="401">
        <f t="shared" si="92"/>
        <v>0.33</v>
      </c>
      <c r="AS136" s="402" t="s">
        <v>100</v>
      </c>
      <c r="AT136" s="405">
        <v>0</v>
      </c>
      <c r="AU136" s="628"/>
      <c r="AV136" s="628" t="s">
        <v>1055</v>
      </c>
      <c r="AW136" s="729" t="str">
        <f t="shared" si="81"/>
        <v>BAJO</v>
      </c>
      <c r="AX136" s="397">
        <f t="shared" si="82"/>
        <v>0</v>
      </c>
      <c r="AY136" s="399" t="s">
        <v>1056</v>
      </c>
      <c r="AZ136" s="398">
        <f t="shared" si="83"/>
        <v>0</v>
      </c>
      <c r="BA136" s="398">
        <f t="shared" si="84"/>
        <v>0</v>
      </c>
      <c r="BB136" s="398">
        <f t="shared" si="85"/>
        <v>0</v>
      </c>
      <c r="BC136" s="15"/>
      <c r="BD136" s="14">
        <f t="shared" si="86"/>
        <v>0.33</v>
      </c>
      <c r="BE136" s="645" t="s">
        <v>100</v>
      </c>
      <c r="BF136" s="646">
        <v>1</v>
      </c>
      <c r="BG136" s="658"/>
      <c r="BH136" s="680" t="s">
        <v>1057</v>
      </c>
      <c r="BI136" s="658" t="str">
        <f t="shared" si="63"/>
        <v>ALTO</v>
      </c>
      <c r="BJ136" s="681">
        <f t="shared" si="87"/>
        <v>0.33</v>
      </c>
      <c r="BK136" s="647" t="s">
        <v>1058</v>
      </c>
      <c r="BL136" s="682">
        <f t="shared" si="64"/>
        <v>4.6218487394957986E-2</v>
      </c>
      <c r="BM136" s="682">
        <f t="shared" si="65"/>
        <v>0.24750000000000003</v>
      </c>
      <c r="BN136" s="682">
        <f t="shared" si="66"/>
        <v>0.81850400145700797</v>
      </c>
      <c r="BO136" s="658"/>
      <c r="BP136" s="888">
        <v>0.34</v>
      </c>
      <c r="BQ136" s="854" t="s">
        <v>105</v>
      </c>
      <c r="BR136" s="876">
        <f>100/100</f>
        <v>1</v>
      </c>
      <c r="BS136" s="889"/>
      <c r="BT136" s="856" t="s">
        <v>1059</v>
      </c>
      <c r="BU136" s="905" t="str">
        <f t="shared" si="88"/>
        <v>ALTO</v>
      </c>
      <c r="BV136" s="875">
        <f t="shared" si="89"/>
        <v>0.34</v>
      </c>
      <c r="BW136" s="859" t="s">
        <v>1023</v>
      </c>
      <c r="BX136" s="857">
        <f t="shared" si="67"/>
        <v>2.4276</v>
      </c>
      <c r="BY136" s="857">
        <f t="shared" si="68"/>
        <v>0.45333333333333337</v>
      </c>
      <c r="BZ136" s="857">
        <f t="shared" si="69"/>
        <v>0.1370793542857143</v>
      </c>
      <c r="CA136" s="857">
        <f t="shared" si="70"/>
        <v>0.12466666666666666</v>
      </c>
      <c r="CB136" s="16">
        <f t="shared" si="71"/>
        <v>0.67</v>
      </c>
      <c r="CC136" s="16">
        <f t="shared" si="72"/>
        <v>0.33</v>
      </c>
      <c r="CD136" s="16">
        <f t="shared" si="74"/>
        <v>1</v>
      </c>
      <c r="CE136" s="16">
        <f t="shared" si="75"/>
        <v>0.67</v>
      </c>
      <c r="CF136" s="16" t="e">
        <f>SUM(#REF!/(CC136+CB136))</f>
        <v>#REF!</v>
      </c>
      <c r="CG136" s="17"/>
      <c r="CH136" s="17"/>
      <c r="CI136" s="17"/>
      <c r="CJ136" s="17"/>
      <c r="CK136" s="1"/>
      <c r="CL136" s="1"/>
      <c r="CM136" s="1"/>
      <c r="CN136" s="1"/>
      <c r="CO136" s="1"/>
      <c r="CP136" s="1"/>
      <c r="CQ136" s="1"/>
      <c r="CR136" s="1"/>
      <c r="CS136" s="1"/>
      <c r="CT136" s="1"/>
      <c r="CU136" s="1"/>
      <c r="CV136" s="346"/>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c r="FO136" s="1"/>
      <c r="FP136" s="1"/>
      <c r="FQ136" s="1"/>
      <c r="FR136" s="1"/>
      <c r="FS136" s="1"/>
      <c r="FT136" s="1"/>
      <c r="FU136" s="1"/>
      <c r="FV136" s="1"/>
      <c r="FW136" s="1"/>
      <c r="FX136" s="1"/>
      <c r="FY136" s="1"/>
      <c r="FZ136" s="1"/>
      <c r="GA136" s="1"/>
      <c r="GB136" s="1"/>
      <c r="GC136" s="1"/>
      <c r="GD136" s="1"/>
      <c r="GE136" s="1"/>
      <c r="GF136" s="1"/>
      <c r="GG136" s="1"/>
      <c r="GH136" s="1"/>
      <c r="GI136" s="1"/>
      <c r="GJ136" s="1"/>
      <c r="GK136" s="1"/>
      <c r="GL136" s="1"/>
      <c r="GM136" s="1"/>
      <c r="GN136" s="1"/>
      <c r="GO136" s="1"/>
      <c r="GP136" s="1"/>
      <c r="GQ136" s="1"/>
      <c r="GR136" s="1"/>
      <c r="GS136" s="1"/>
      <c r="GT136" s="1"/>
      <c r="GU136" s="1"/>
      <c r="GV136" s="1"/>
      <c r="GW136" s="1"/>
      <c r="GX136" s="1"/>
      <c r="GY136" s="1"/>
      <c r="GZ136" s="1"/>
      <c r="HA136" s="1"/>
      <c r="HB136" s="1"/>
      <c r="HC136" s="1"/>
      <c r="HD136" s="1"/>
      <c r="HE136" s="1"/>
      <c r="HF136" s="1"/>
      <c r="HG136" s="1"/>
      <c r="HH136" s="1"/>
      <c r="HI136" s="1"/>
      <c r="HJ136" s="1"/>
      <c r="HK136" s="1"/>
      <c r="HL136" s="1"/>
      <c r="HM136" s="1"/>
      <c r="HN136" s="1"/>
      <c r="HO136" s="1"/>
      <c r="HP136" s="1"/>
      <c r="HQ136" s="1"/>
      <c r="HR136" s="1"/>
      <c r="HS136" s="1"/>
      <c r="HT136" s="1"/>
      <c r="HU136" s="1"/>
      <c r="HV136" s="1"/>
      <c r="HW136" s="1"/>
      <c r="HX136" s="1"/>
      <c r="HY136" s="1"/>
      <c r="HZ136" s="1"/>
      <c r="IA136" s="1"/>
      <c r="IB136" s="1"/>
      <c r="IC136" s="1"/>
      <c r="ID136" s="1"/>
      <c r="IE136" s="1"/>
      <c r="IF136" s="1"/>
      <c r="IG136" s="1"/>
      <c r="IH136" s="1"/>
      <c r="II136" s="1"/>
      <c r="IJ136" s="1"/>
      <c r="IK136" s="1"/>
      <c r="IL136" s="1"/>
      <c r="IM136" s="1"/>
      <c r="IN136" s="1"/>
      <c r="IO136" s="1"/>
      <c r="IP136" s="1"/>
      <c r="IQ136" s="1"/>
      <c r="IR136" s="1"/>
      <c r="IS136" s="1"/>
      <c r="IT136" s="1"/>
      <c r="IU136" s="1"/>
      <c r="IV136" s="1"/>
      <c r="IW136" s="1"/>
      <c r="IX136" s="1"/>
      <c r="IY136" s="1"/>
      <c r="IZ136" s="1"/>
      <c r="JA136" s="1"/>
      <c r="JB136" s="1"/>
      <c r="JC136" s="1"/>
      <c r="JD136" s="1"/>
      <c r="JE136" s="1"/>
      <c r="JF136" s="1"/>
      <c r="JG136" s="1"/>
      <c r="JH136" s="1"/>
      <c r="JI136" s="1"/>
      <c r="JJ136" s="1"/>
      <c r="JK136" s="1"/>
      <c r="JL136" s="1"/>
      <c r="JM136" s="1"/>
      <c r="JN136" s="1"/>
      <c r="JO136" s="1"/>
      <c r="JP136" s="1"/>
      <c r="JQ136" s="1"/>
      <c r="JR136" s="1"/>
      <c r="JS136" s="1"/>
      <c r="JT136" s="1"/>
      <c r="JU136" s="1"/>
      <c r="JV136" s="1"/>
      <c r="JW136" s="1"/>
      <c r="JX136" s="1"/>
      <c r="JY136" s="1"/>
      <c r="JZ136" s="1"/>
      <c r="KA136" s="1"/>
      <c r="KB136" s="1"/>
      <c r="KC136" s="1"/>
      <c r="KD136" s="1"/>
      <c r="KE136" s="1"/>
      <c r="KF136" s="1"/>
      <c r="KG136" s="1"/>
      <c r="KH136" s="1"/>
      <c r="KI136" s="1"/>
      <c r="KJ136" s="1"/>
      <c r="KK136" s="1"/>
      <c r="KL136" s="1"/>
      <c r="KM136" s="1"/>
      <c r="KN136" s="1"/>
      <c r="KO136" s="1"/>
      <c r="KP136" s="1"/>
      <c r="KQ136" s="1"/>
    </row>
    <row r="137" spans="1:303" s="5" customFormat="1" ht="65.099999999999994" customHeight="1" x14ac:dyDescent="0.25">
      <c r="A137" s="356" t="s">
        <v>79</v>
      </c>
      <c r="B137" s="356" t="s">
        <v>80</v>
      </c>
      <c r="C137" s="356" t="s">
        <v>81</v>
      </c>
      <c r="D137" s="356" t="s">
        <v>82</v>
      </c>
      <c r="E137" s="356" t="s">
        <v>83</v>
      </c>
      <c r="F137" s="356" t="s">
        <v>84</v>
      </c>
      <c r="G137" s="356" t="s">
        <v>85</v>
      </c>
      <c r="H137" s="356" t="s">
        <v>86</v>
      </c>
      <c r="I137" s="356" t="s">
        <v>87</v>
      </c>
      <c r="J137" s="356" t="s">
        <v>152</v>
      </c>
      <c r="K137" s="357" t="s">
        <v>12</v>
      </c>
      <c r="L137" s="357" t="s">
        <v>652</v>
      </c>
      <c r="M137" s="357" t="s">
        <v>153</v>
      </c>
      <c r="N137" s="367" t="s">
        <v>91</v>
      </c>
      <c r="O137" s="367" t="s">
        <v>154</v>
      </c>
      <c r="P137" s="930">
        <v>39542136.277533107</v>
      </c>
      <c r="Q137" s="368" t="s">
        <v>654</v>
      </c>
      <c r="R137" s="357" t="s">
        <v>156</v>
      </c>
      <c r="S137" s="357">
        <v>3</v>
      </c>
      <c r="T137" s="369" t="s">
        <v>157</v>
      </c>
      <c r="U137" s="357" t="s">
        <v>158</v>
      </c>
      <c r="V137" s="370" t="s">
        <v>98</v>
      </c>
      <c r="W137" s="497" t="s">
        <v>159</v>
      </c>
      <c r="X137" s="432">
        <v>0</v>
      </c>
      <c r="Y137" s="432">
        <v>0.34</v>
      </c>
      <c r="Z137" s="432">
        <v>0.33</v>
      </c>
      <c r="AA137" s="444">
        <v>0.33</v>
      </c>
      <c r="AB137" s="814">
        <v>14.28</v>
      </c>
      <c r="AC137" s="815">
        <v>2.6665999999999999</v>
      </c>
      <c r="AD137" s="815">
        <v>0.80630000000000002</v>
      </c>
      <c r="AE137" s="413">
        <v>0.37727272727272726</v>
      </c>
      <c r="AF137" s="816">
        <f t="shared" si="91"/>
        <v>0</v>
      </c>
      <c r="AG137" s="817" t="s">
        <v>146</v>
      </c>
      <c r="AH137" s="818">
        <v>0</v>
      </c>
      <c r="AI137" s="351" t="s">
        <v>1060</v>
      </c>
      <c r="AJ137" s="819" t="s">
        <v>1000</v>
      </c>
      <c r="AK137" s="817"/>
      <c r="AL137" s="816">
        <f t="shared" si="77"/>
        <v>0</v>
      </c>
      <c r="AM137" s="819" t="s">
        <v>121</v>
      </c>
      <c r="AN137" s="817">
        <f t="shared" si="78"/>
        <v>0</v>
      </c>
      <c r="AO137" s="817">
        <f t="shared" si="79"/>
        <v>0</v>
      </c>
      <c r="AP137" s="817">
        <f t="shared" si="80"/>
        <v>0</v>
      </c>
      <c r="AQ137" s="817"/>
      <c r="AR137" s="816">
        <f t="shared" si="92"/>
        <v>0.34</v>
      </c>
      <c r="AS137" s="817" t="s">
        <v>100</v>
      </c>
      <c r="AT137" s="820">
        <f>1/1</f>
        <v>1</v>
      </c>
      <c r="AU137" s="351"/>
      <c r="AV137" s="351" t="s">
        <v>1061</v>
      </c>
      <c r="AW137" s="821" t="str">
        <f t="shared" si="81"/>
        <v>ALTO</v>
      </c>
      <c r="AX137" s="822">
        <f t="shared" si="82"/>
        <v>0.34</v>
      </c>
      <c r="AY137" s="823" t="s">
        <v>102</v>
      </c>
      <c r="AZ137" s="316">
        <f t="shared" si="83"/>
        <v>4.8552</v>
      </c>
      <c r="BA137" s="316">
        <f t="shared" si="84"/>
        <v>0.90664400000000001</v>
      </c>
      <c r="BB137" s="316">
        <f t="shared" si="85"/>
        <v>0.27414200000000005</v>
      </c>
      <c r="BC137" s="15"/>
      <c r="BD137" s="822">
        <f t="shared" si="86"/>
        <v>0.33</v>
      </c>
      <c r="BE137" s="817" t="s">
        <v>100</v>
      </c>
      <c r="BF137" s="820">
        <f>1/1</f>
        <v>1</v>
      </c>
      <c r="BG137" s="317"/>
      <c r="BH137" s="351" t="s">
        <v>1061</v>
      </c>
      <c r="BI137" s="317" t="str">
        <f t="shared" ref="BI137:BI200" si="93">+IF(AND(BF137&gt;=0%,BF137&lt;=60%),"BAJO",IF(AND(BF137&gt;=61%,BF137&lt;=80%),"MEDIO","ALTO"))</f>
        <v>ALTO</v>
      </c>
      <c r="BJ137" s="827">
        <f t="shared" si="87"/>
        <v>0.33</v>
      </c>
      <c r="BK137" s="813" t="s">
        <v>1062</v>
      </c>
      <c r="BL137" s="828">
        <f t="shared" ref="BL137:BL200" si="94">BJ137/AB137</f>
        <v>2.3109243697478993E-2</v>
      </c>
      <c r="BM137" s="828">
        <f t="shared" ref="BM137:BM200" si="95">BJ137/AC137</f>
        <v>0.1237530938273457</v>
      </c>
      <c r="BN137" s="828">
        <f t="shared" ref="BN137:BN200" si="96">BJ137/AD137</f>
        <v>0.40927694406548432</v>
      </c>
      <c r="BO137" s="317"/>
      <c r="BP137" s="888">
        <v>0.33</v>
      </c>
      <c r="BQ137" s="854" t="s">
        <v>105</v>
      </c>
      <c r="BR137" s="876">
        <v>1</v>
      </c>
      <c r="BS137" s="889"/>
      <c r="BT137" s="889" t="s">
        <v>1060</v>
      </c>
      <c r="BU137" s="905" t="str">
        <f t="shared" si="88"/>
        <v>ALTO</v>
      </c>
      <c r="BV137" s="875">
        <f t="shared" si="89"/>
        <v>0.33</v>
      </c>
      <c r="BW137" s="859" t="s">
        <v>336</v>
      </c>
      <c r="BX137" s="857">
        <f t="shared" ref="BX137:BX200" si="97">BV137*AB137</f>
        <v>4.7123999999999997</v>
      </c>
      <c r="BY137" s="857">
        <f t="shared" ref="BY137:BY200" si="98">BV137*AC137</f>
        <v>0.87997800000000004</v>
      </c>
      <c r="BZ137" s="857">
        <f t="shared" ref="BZ137:BZ200" si="99">BV137*AD137</f>
        <v>0.26607900000000001</v>
      </c>
      <c r="CA137" s="857">
        <f t="shared" ref="CA137:CA200" si="100">BV137*AE137</f>
        <v>0.1245</v>
      </c>
      <c r="CB137" s="16">
        <f t="shared" ref="CB137:CB200" si="101">SUM(BD137+BP137)</f>
        <v>0.66</v>
      </c>
      <c r="CC137" s="16">
        <f t="shared" ref="CC137:CC200" si="102">AF137+AR137</f>
        <v>0.34</v>
      </c>
      <c r="CD137" s="16">
        <f t="shared" si="74"/>
        <v>1</v>
      </c>
      <c r="CE137" s="16">
        <f t="shared" si="75"/>
        <v>1</v>
      </c>
      <c r="CF137" s="16" t="e">
        <f>SUM(#REF!/(CC137+CB137))</f>
        <v>#REF!</v>
      </c>
      <c r="CG137" s="17"/>
      <c r="CH137" s="17"/>
      <c r="CI137" s="17"/>
      <c r="CJ137" s="17"/>
      <c r="CK137" s="3" t="s">
        <v>165</v>
      </c>
      <c r="CL137" s="1"/>
      <c r="CM137" s="1"/>
      <c r="CN137" s="1"/>
      <c r="CO137" s="1"/>
      <c r="CP137" s="1"/>
      <c r="CQ137" s="1"/>
      <c r="CR137" s="1"/>
      <c r="CS137" s="1"/>
      <c r="CT137" s="1"/>
      <c r="CU137" s="1"/>
      <c r="CV137" s="346">
        <f t="shared" ref="CV137:CV168" si="103">SUM(X137:AA137)</f>
        <v>1</v>
      </c>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c r="FK137" s="1"/>
      <c r="FL137" s="1"/>
      <c r="FM137" s="1"/>
      <c r="FN137" s="1"/>
      <c r="FO137" s="1"/>
      <c r="FP137" s="1"/>
      <c r="FQ137" s="1"/>
      <c r="FR137" s="1"/>
      <c r="FS137" s="1"/>
      <c r="FT137" s="1"/>
      <c r="FU137" s="1"/>
      <c r="FV137" s="1"/>
      <c r="FW137" s="1"/>
      <c r="FX137" s="1"/>
      <c r="FY137" s="1"/>
      <c r="FZ137" s="1"/>
      <c r="GA137" s="1"/>
      <c r="GB137" s="1"/>
      <c r="GC137" s="1"/>
      <c r="GD137" s="1"/>
      <c r="GE137" s="1"/>
      <c r="GF137" s="1"/>
      <c r="GG137" s="1"/>
      <c r="GH137" s="1"/>
      <c r="GI137" s="1"/>
      <c r="GJ137" s="1"/>
      <c r="GK137" s="1"/>
      <c r="GL137" s="1"/>
      <c r="GM137" s="1"/>
      <c r="GN137" s="1"/>
      <c r="GO137" s="1"/>
      <c r="GP137" s="1"/>
      <c r="GQ137" s="1"/>
      <c r="GR137" s="1"/>
      <c r="GS137" s="1"/>
      <c r="GT137" s="1"/>
      <c r="GU137" s="1"/>
      <c r="GV137" s="1"/>
      <c r="GW137" s="1"/>
      <c r="GX137" s="1"/>
      <c r="GY137" s="1"/>
      <c r="GZ137" s="1"/>
      <c r="HA137" s="1"/>
      <c r="HB137" s="1"/>
      <c r="HC137" s="1"/>
      <c r="HD137" s="1"/>
      <c r="HE137" s="1"/>
      <c r="HF137" s="1"/>
      <c r="HG137" s="1"/>
      <c r="HH137" s="1"/>
      <c r="HI137" s="1"/>
      <c r="HJ137" s="1"/>
      <c r="HK137" s="1"/>
      <c r="HL137" s="1"/>
      <c r="HM137" s="1"/>
      <c r="HN137" s="1"/>
      <c r="HO137" s="1"/>
      <c r="HP137" s="1"/>
      <c r="HQ137" s="1"/>
      <c r="HR137" s="1"/>
      <c r="HS137" s="1"/>
      <c r="HT137" s="1"/>
      <c r="HU137" s="1"/>
      <c r="HV137" s="1"/>
      <c r="HW137" s="1"/>
      <c r="HX137" s="1"/>
      <c r="HY137" s="1"/>
      <c r="HZ137" s="1"/>
      <c r="IA137" s="1"/>
      <c r="IB137" s="1"/>
      <c r="IC137" s="1"/>
      <c r="ID137" s="1"/>
      <c r="IE137" s="1"/>
      <c r="IF137" s="1"/>
      <c r="IG137" s="1"/>
      <c r="IH137" s="1"/>
      <c r="II137" s="1"/>
      <c r="IJ137" s="1"/>
      <c r="IK137" s="1"/>
      <c r="IL137" s="1"/>
      <c r="IM137" s="1"/>
      <c r="IN137" s="1"/>
      <c r="IO137" s="1"/>
      <c r="IP137" s="1"/>
      <c r="IQ137" s="1"/>
      <c r="IR137" s="1"/>
      <c r="IS137" s="1"/>
      <c r="IT137" s="1"/>
      <c r="IU137" s="1"/>
      <c r="IV137" s="1"/>
      <c r="IW137" s="1"/>
      <c r="IX137" s="1"/>
      <c r="IY137" s="1"/>
      <c r="IZ137" s="1"/>
      <c r="JA137" s="1"/>
      <c r="JB137" s="1"/>
      <c r="JC137" s="1"/>
      <c r="JD137" s="1"/>
      <c r="JE137" s="1"/>
      <c r="JF137" s="1"/>
      <c r="JG137" s="1"/>
      <c r="JH137" s="1"/>
      <c r="JI137" s="1"/>
      <c r="JJ137" s="1"/>
      <c r="JK137" s="1"/>
      <c r="JL137" s="1"/>
      <c r="JM137" s="1"/>
      <c r="JN137" s="1"/>
      <c r="JO137" s="1"/>
      <c r="JP137" s="1"/>
      <c r="JQ137" s="1"/>
      <c r="JR137" s="1"/>
      <c r="JS137" s="1"/>
      <c r="JT137" s="1"/>
      <c r="JU137" s="1"/>
      <c r="JV137" s="1"/>
      <c r="JW137" s="1"/>
      <c r="JX137" s="1"/>
      <c r="JY137" s="1"/>
      <c r="JZ137" s="1"/>
      <c r="KA137" s="1"/>
      <c r="KB137" s="1"/>
      <c r="KC137" s="1"/>
      <c r="KD137" s="1"/>
      <c r="KE137" s="1"/>
      <c r="KF137" s="1"/>
      <c r="KG137" s="1"/>
      <c r="KH137" s="1"/>
      <c r="KI137" s="1"/>
      <c r="KJ137" s="1"/>
      <c r="KK137" s="1"/>
      <c r="KL137" s="1"/>
      <c r="KM137" s="1"/>
      <c r="KN137" s="1"/>
      <c r="KO137" s="1"/>
      <c r="KP137" s="1"/>
      <c r="KQ137" s="1"/>
    </row>
    <row r="138" spans="1:303" s="5" customFormat="1" ht="65.099999999999994" customHeight="1" x14ac:dyDescent="0.25">
      <c r="A138" s="356" t="s">
        <v>79</v>
      </c>
      <c r="B138" s="356" t="s">
        <v>80</v>
      </c>
      <c r="C138" s="356" t="s">
        <v>81</v>
      </c>
      <c r="D138" s="356" t="s">
        <v>82</v>
      </c>
      <c r="E138" s="356" t="s">
        <v>83</v>
      </c>
      <c r="F138" s="356" t="s">
        <v>84</v>
      </c>
      <c r="G138" s="356" t="s">
        <v>85</v>
      </c>
      <c r="H138" s="356" t="s">
        <v>86</v>
      </c>
      <c r="I138" s="356" t="s">
        <v>87</v>
      </c>
      <c r="J138" s="356" t="s">
        <v>152</v>
      </c>
      <c r="K138" s="357" t="s">
        <v>12</v>
      </c>
      <c r="L138" s="357" t="s">
        <v>652</v>
      </c>
      <c r="M138" s="357" t="s">
        <v>166</v>
      </c>
      <c r="N138" s="367" t="s">
        <v>91</v>
      </c>
      <c r="O138" s="367" t="s">
        <v>154</v>
      </c>
      <c r="P138" s="930">
        <v>39542136.277533107</v>
      </c>
      <c r="Q138" s="368" t="s">
        <v>654</v>
      </c>
      <c r="R138" s="357" t="s">
        <v>156</v>
      </c>
      <c r="S138" s="357">
        <v>3</v>
      </c>
      <c r="T138" s="377" t="s">
        <v>167</v>
      </c>
      <c r="U138" s="357" t="s">
        <v>168</v>
      </c>
      <c r="V138" s="357" t="s">
        <v>98</v>
      </c>
      <c r="W138" s="497" t="s">
        <v>616</v>
      </c>
      <c r="X138" s="432">
        <v>0</v>
      </c>
      <c r="Y138" s="432">
        <v>0.34</v>
      </c>
      <c r="Z138" s="432">
        <v>0.33</v>
      </c>
      <c r="AA138" s="444">
        <v>0.33</v>
      </c>
      <c r="AB138" s="814">
        <v>7.14</v>
      </c>
      <c r="AC138" s="815">
        <v>1.3333333333333333</v>
      </c>
      <c r="AD138" s="815">
        <v>0.40317457142857144</v>
      </c>
      <c r="AE138" s="413">
        <v>0.37727272727272726</v>
      </c>
      <c r="AF138" s="816">
        <f t="shared" si="91"/>
        <v>0</v>
      </c>
      <c r="AG138" s="817" t="s">
        <v>146</v>
      </c>
      <c r="AH138" s="818">
        <v>0</v>
      </c>
      <c r="AI138" s="351"/>
      <c r="AJ138" s="819"/>
      <c r="AK138" s="817"/>
      <c r="AL138" s="816">
        <f t="shared" si="77"/>
        <v>0</v>
      </c>
      <c r="AM138" s="819" t="s">
        <v>121</v>
      </c>
      <c r="AN138" s="817">
        <f t="shared" si="78"/>
        <v>0</v>
      </c>
      <c r="AO138" s="817">
        <f t="shared" si="79"/>
        <v>0</v>
      </c>
      <c r="AP138" s="817">
        <f t="shared" si="80"/>
        <v>0</v>
      </c>
      <c r="AQ138" s="817"/>
      <c r="AR138" s="816">
        <f t="shared" si="92"/>
        <v>0.34</v>
      </c>
      <c r="AS138" s="817" t="s">
        <v>100</v>
      </c>
      <c r="AT138" s="820">
        <v>1</v>
      </c>
      <c r="AU138" s="351"/>
      <c r="AV138" s="351" t="s">
        <v>1063</v>
      </c>
      <c r="AW138" s="821" t="str">
        <f t="shared" si="81"/>
        <v>ALTO</v>
      </c>
      <c r="AX138" s="822">
        <f t="shared" si="82"/>
        <v>0.34</v>
      </c>
      <c r="AY138" s="823" t="s">
        <v>102</v>
      </c>
      <c r="AZ138" s="316">
        <f t="shared" si="83"/>
        <v>2.4276</v>
      </c>
      <c r="BA138" s="316">
        <f t="shared" si="84"/>
        <v>0.45333333333333337</v>
      </c>
      <c r="BB138" s="316">
        <f t="shared" si="85"/>
        <v>0.1370793542857143</v>
      </c>
      <c r="BC138" s="15"/>
      <c r="BD138" s="822">
        <f t="shared" si="86"/>
        <v>0.33</v>
      </c>
      <c r="BE138" s="817" t="s">
        <v>100</v>
      </c>
      <c r="BF138" s="820">
        <f>1/1</f>
        <v>1</v>
      </c>
      <c r="BG138" s="317"/>
      <c r="BH138" s="351" t="s">
        <v>1064</v>
      </c>
      <c r="BI138" s="317" t="str">
        <f t="shared" si="93"/>
        <v>ALTO</v>
      </c>
      <c r="BJ138" s="827">
        <f t="shared" si="87"/>
        <v>0.33</v>
      </c>
      <c r="BK138" s="813" t="s">
        <v>1065</v>
      </c>
      <c r="BL138" s="828">
        <f t="shared" si="94"/>
        <v>4.6218487394957986E-2</v>
      </c>
      <c r="BM138" s="828">
        <f t="shared" si="95"/>
        <v>0.24750000000000003</v>
      </c>
      <c r="BN138" s="828">
        <f t="shared" si="96"/>
        <v>0.81850400145700797</v>
      </c>
      <c r="BO138" s="317"/>
      <c r="BP138" s="888">
        <v>0.33</v>
      </c>
      <c r="BQ138" s="854" t="s">
        <v>105</v>
      </c>
      <c r="BR138" s="876">
        <v>1</v>
      </c>
      <c r="BS138" s="889"/>
      <c r="BT138" s="889"/>
      <c r="BU138" s="905" t="str">
        <f t="shared" si="88"/>
        <v>ALTO</v>
      </c>
      <c r="BV138" s="875">
        <f t="shared" si="89"/>
        <v>0.33</v>
      </c>
      <c r="BW138" s="859" t="s">
        <v>521</v>
      </c>
      <c r="BX138" s="857">
        <f t="shared" si="97"/>
        <v>2.3561999999999999</v>
      </c>
      <c r="BY138" s="857">
        <f t="shared" si="98"/>
        <v>0.44</v>
      </c>
      <c r="BZ138" s="857">
        <f t="shared" si="99"/>
        <v>0.13304760857142858</v>
      </c>
      <c r="CA138" s="857">
        <f t="shared" si="100"/>
        <v>0.1245</v>
      </c>
      <c r="CB138" s="16">
        <f t="shared" si="101"/>
        <v>0.66</v>
      </c>
      <c r="CC138" s="16">
        <f t="shared" si="102"/>
        <v>0.34</v>
      </c>
      <c r="CD138" s="16">
        <f t="shared" si="74"/>
        <v>1</v>
      </c>
      <c r="CE138" s="16">
        <f t="shared" si="75"/>
        <v>1</v>
      </c>
      <c r="CF138" s="16" t="e">
        <f>SUM(#REF!/(CC138+CB138))</f>
        <v>#REF!</v>
      </c>
      <c r="CG138" s="17"/>
      <c r="CH138" s="17"/>
      <c r="CI138" s="17"/>
      <c r="CJ138" s="17"/>
      <c r="CK138" s="3" t="s">
        <v>165</v>
      </c>
      <c r="CL138" s="1"/>
      <c r="CM138" s="1"/>
      <c r="CN138" s="1"/>
      <c r="CO138" s="1"/>
      <c r="CP138" s="1"/>
      <c r="CQ138" s="1"/>
      <c r="CR138" s="1"/>
      <c r="CS138" s="1"/>
      <c r="CT138" s="1"/>
      <c r="CU138" s="1"/>
      <c r="CV138" s="346">
        <f t="shared" si="103"/>
        <v>1</v>
      </c>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c r="FK138" s="1"/>
      <c r="FL138" s="1"/>
      <c r="FM138" s="1"/>
      <c r="FN138" s="1"/>
      <c r="FO138" s="1"/>
      <c r="FP138" s="1"/>
      <c r="FQ138" s="1"/>
      <c r="FR138" s="1"/>
      <c r="FS138" s="1"/>
      <c r="FT138" s="1"/>
      <c r="FU138" s="1"/>
      <c r="FV138" s="1"/>
      <c r="FW138" s="1"/>
      <c r="FX138" s="1"/>
      <c r="FY138" s="1"/>
      <c r="FZ138" s="1"/>
      <c r="GA138" s="1"/>
      <c r="GB138" s="1"/>
      <c r="GC138" s="1"/>
      <c r="GD138" s="1"/>
      <c r="GE138" s="1"/>
      <c r="GF138" s="1"/>
      <c r="GG138" s="1"/>
      <c r="GH138" s="1"/>
      <c r="GI138" s="1"/>
      <c r="GJ138" s="1"/>
      <c r="GK138" s="1"/>
      <c r="GL138" s="1"/>
      <c r="GM138" s="1"/>
      <c r="GN138" s="1"/>
      <c r="GO138" s="1"/>
      <c r="GP138" s="1"/>
      <c r="GQ138" s="1"/>
      <c r="GR138" s="1"/>
      <c r="GS138" s="1"/>
      <c r="GT138" s="1"/>
      <c r="GU138" s="1"/>
      <c r="GV138" s="1"/>
      <c r="GW138" s="1"/>
      <c r="GX138" s="1"/>
      <c r="GY138" s="1"/>
      <c r="GZ138" s="1"/>
      <c r="HA138" s="1"/>
      <c r="HB138" s="1"/>
      <c r="HC138" s="1"/>
      <c r="HD138" s="1"/>
      <c r="HE138" s="1"/>
      <c r="HF138" s="1"/>
      <c r="HG138" s="1"/>
      <c r="HH138" s="1"/>
      <c r="HI138" s="1"/>
      <c r="HJ138" s="1"/>
      <c r="HK138" s="1"/>
      <c r="HL138" s="1"/>
      <c r="HM138" s="1"/>
      <c r="HN138" s="1"/>
      <c r="HO138" s="1"/>
      <c r="HP138" s="1"/>
      <c r="HQ138" s="1"/>
      <c r="HR138" s="1"/>
      <c r="HS138" s="1"/>
      <c r="HT138" s="1"/>
      <c r="HU138" s="1"/>
      <c r="HV138" s="1"/>
      <c r="HW138" s="1"/>
      <c r="HX138" s="1"/>
      <c r="HY138" s="1"/>
      <c r="HZ138" s="1"/>
      <c r="IA138" s="1"/>
      <c r="IB138" s="1"/>
      <c r="IC138" s="1"/>
      <c r="ID138" s="1"/>
      <c r="IE138" s="1"/>
      <c r="IF138" s="1"/>
      <c r="IG138" s="1"/>
      <c r="IH138" s="1"/>
      <c r="II138" s="1"/>
      <c r="IJ138" s="1"/>
      <c r="IK138" s="1"/>
      <c r="IL138" s="1"/>
      <c r="IM138" s="1"/>
      <c r="IN138" s="1"/>
      <c r="IO138" s="1"/>
      <c r="IP138" s="1"/>
      <c r="IQ138" s="1"/>
      <c r="IR138" s="1"/>
      <c r="IS138" s="1"/>
      <c r="IT138" s="1"/>
      <c r="IU138" s="1"/>
      <c r="IV138" s="1"/>
      <c r="IW138" s="1"/>
      <c r="IX138" s="1"/>
      <c r="IY138" s="1"/>
      <c r="IZ138" s="1"/>
      <c r="JA138" s="1"/>
      <c r="JB138" s="1"/>
      <c r="JC138" s="1"/>
      <c r="JD138" s="1"/>
      <c r="JE138" s="1"/>
      <c r="JF138" s="1"/>
      <c r="JG138" s="1"/>
      <c r="JH138" s="1"/>
      <c r="JI138" s="1"/>
      <c r="JJ138" s="1"/>
      <c r="JK138" s="1"/>
      <c r="JL138" s="1"/>
      <c r="JM138" s="1"/>
      <c r="JN138" s="1"/>
      <c r="JO138" s="1"/>
      <c r="JP138" s="1"/>
      <c r="JQ138" s="1"/>
      <c r="JR138" s="1"/>
      <c r="JS138" s="1"/>
      <c r="JT138" s="1"/>
      <c r="JU138" s="1"/>
      <c r="JV138" s="1"/>
      <c r="JW138" s="1"/>
      <c r="JX138" s="1"/>
      <c r="JY138" s="1"/>
      <c r="JZ138" s="1"/>
      <c r="KA138" s="1"/>
      <c r="KB138" s="1"/>
      <c r="KC138" s="1"/>
      <c r="KD138" s="1"/>
      <c r="KE138" s="1"/>
      <c r="KF138" s="1"/>
      <c r="KG138" s="1"/>
      <c r="KH138" s="1"/>
      <c r="KI138" s="1"/>
      <c r="KJ138" s="1"/>
      <c r="KK138" s="1"/>
      <c r="KL138" s="1"/>
      <c r="KM138" s="1"/>
      <c r="KN138" s="1"/>
      <c r="KO138" s="1"/>
      <c r="KP138" s="1"/>
      <c r="KQ138" s="1"/>
    </row>
    <row r="139" spans="1:303" s="1" customFormat="1" ht="65.099999999999994" customHeight="1" x14ac:dyDescent="0.25">
      <c r="A139" s="356" t="s">
        <v>79</v>
      </c>
      <c r="B139" s="356" t="s">
        <v>80</v>
      </c>
      <c r="C139" s="356" t="s">
        <v>81</v>
      </c>
      <c r="D139" s="356" t="s">
        <v>82</v>
      </c>
      <c r="E139" s="356" t="s">
        <v>83</v>
      </c>
      <c r="F139" s="356" t="s">
        <v>84</v>
      </c>
      <c r="G139" s="356" t="s">
        <v>85</v>
      </c>
      <c r="H139" s="356" t="s">
        <v>86</v>
      </c>
      <c r="I139" s="356" t="s">
        <v>87</v>
      </c>
      <c r="J139" s="356" t="s">
        <v>152</v>
      </c>
      <c r="K139" s="357" t="s">
        <v>12</v>
      </c>
      <c r="L139" s="357" t="s">
        <v>652</v>
      </c>
      <c r="M139" s="357" t="s">
        <v>174</v>
      </c>
      <c r="N139" s="367" t="s">
        <v>91</v>
      </c>
      <c r="O139" s="367" t="s">
        <v>154</v>
      </c>
      <c r="P139" s="930">
        <v>39542136.277533107</v>
      </c>
      <c r="Q139" s="368" t="s">
        <v>654</v>
      </c>
      <c r="R139" s="357" t="s">
        <v>156</v>
      </c>
      <c r="S139" s="357">
        <v>3</v>
      </c>
      <c r="T139" s="371" t="s">
        <v>175</v>
      </c>
      <c r="U139" s="357" t="s">
        <v>176</v>
      </c>
      <c r="V139" s="357" t="s">
        <v>98</v>
      </c>
      <c r="W139" s="497" t="s">
        <v>159</v>
      </c>
      <c r="X139" s="432">
        <v>0</v>
      </c>
      <c r="Y139" s="432">
        <v>0.33</v>
      </c>
      <c r="Z139" s="432">
        <v>0.33</v>
      </c>
      <c r="AA139" s="444">
        <v>0.34</v>
      </c>
      <c r="AB139" s="814">
        <v>7.14</v>
      </c>
      <c r="AC139" s="815">
        <v>1.3333333333333333</v>
      </c>
      <c r="AD139" s="815">
        <v>0.40317457142857144</v>
      </c>
      <c r="AE139" s="413">
        <v>0.37727272727272726</v>
      </c>
      <c r="AF139" s="816">
        <f t="shared" si="91"/>
        <v>0</v>
      </c>
      <c r="AG139" s="817" t="s">
        <v>146</v>
      </c>
      <c r="AH139" s="818">
        <v>0</v>
      </c>
      <c r="AI139" s="351"/>
      <c r="AJ139" s="819" t="s">
        <v>1066</v>
      </c>
      <c r="AK139" s="817"/>
      <c r="AL139" s="816">
        <f t="shared" si="77"/>
        <v>0</v>
      </c>
      <c r="AM139" s="819" t="s">
        <v>121</v>
      </c>
      <c r="AN139" s="817">
        <f t="shared" si="78"/>
        <v>0</v>
      </c>
      <c r="AO139" s="817">
        <f t="shared" si="79"/>
        <v>0</v>
      </c>
      <c r="AP139" s="817">
        <f t="shared" si="80"/>
        <v>0</v>
      </c>
      <c r="AQ139" s="817"/>
      <c r="AR139" s="816">
        <f t="shared" si="92"/>
        <v>0.33</v>
      </c>
      <c r="AS139" s="817" t="s">
        <v>100</v>
      </c>
      <c r="AT139" s="820">
        <v>0</v>
      </c>
      <c r="AU139" s="351"/>
      <c r="AV139" s="824"/>
      <c r="AW139" s="821" t="str">
        <f t="shared" si="81"/>
        <v>BAJO</v>
      </c>
      <c r="AX139" s="822">
        <f t="shared" si="82"/>
        <v>0</v>
      </c>
      <c r="AY139" s="823" t="s">
        <v>1067</v>
      </c>
      <c r="AZ139" s="316">
        <f t="shared" si="83"/>
        <v>0</v>
      </c>
      <c r="BA139" s="316">
        <f t="shared" si="84"/>
        <v>0</v>
      </c>
      <c r="BB139" s="316">
        <f t="shared" si="85"/>
        <v>0</v>
      </c>
      <c r="BC139" s="15"/>
      <c r="BD139" s="822">
        <f t="shared" si="86"/>
        <v>0.33</v>
      </c>
      <c r="BE139" s="817" t="s">
        <v>100</v>
      </c>
      <c r="BF139" s="820">
        <f>1/1</f>
        <v>1</v>
      </c>
      <c r="BG139" s="317"/>
      <c r="BH139" s="317" t="s">
        <v>1068</v>
      </c>
      <c r="BI139" s="317" t="str">
        <f t="shared" si="93"/>
        <v>ALTO</v>
      </c>
      <c r="BJ139" s="827">
        <f t="shared" si="87"/>
        <v>0.33</v>
      </c>
      <c r="BK139" s="813" t="s">
        <v>1069</v>
      </c>
      <c r="BL139" s="828">
        <f t="shared" si="94"/>
        <v>4.6218487394957986E-2</v>
      </c>
      <c r="BM139" s="828">
        <f t="shared" si="95"/>
        <v>0.24750000000000003</v>
      </c>
      <c r="BN139" s="828">
        <f t="shared" si="96"/>
        <v>0.81850400145700797</v>
      </c>
      <c r="BO139" s="317"/>
      <c r="BP139" s="888">
        <v>0.34</v>
      </c>
      <c r="BQ139" s="854" t="s">
        <v>105</v>
      </c>
      <c r="BR139" s="855">
        <v>1</v>
      </c>
      <c r="BS139" s="889"/>
      <c r="BT139" s="889"/>
      <c r="BU139" s="905" t="str">
        <f t="shared" si="88"/>
        <v>ALTO</v>
      </c>
      <c r="BV139" s="875">
        <f t="shared" si="89"/>
        <v>0.34</v>
      </c>
      <c r="BW139" s="859" t="s">
        <v>180</v>
      </c>
      <c r="BX139" s="857">
        <f t="shared" si="97"/>
        <v>2.4276</v>
      </c>
      <c r="BY139" s="857">
        <f t="shared" si="98"/>
        <v>0.45333333333333337</v>
      </c>
      <c r="BZ139" s="857">
        <f t="shared" si="99"/>
        <v>0.1370793542857143</v>
      </c>
      <c r="CA139" s="857">
        <f t="shared" si="100"/>
        <v>0.12827272727272729</v>
      </c>
      <c r="CB139" s="16">
        <f t="shared" si="101"/>
        <v>0.67</v>
      </c>
      <c r="CC139" s="16">
        <f t="shared" si="102"/>
        <v>0.33</v>
      </c>
      <c r="CD139" s="16">
        <f t="shared" si="74"/>
        <v>1</v>
      </c>
      <c r="CE139" s="16">
        <f t="shared" si="75"/>
        <v>0.67</v>
      </c>
      <c r="CF139" s="16" t="e">
        <f>SUM(#REF!/(CC139+CB139))</f>
        <v>#REF!</v>
      </c>
      <c r="CG139" s="17"/>
      <c r="CH139" s="17"/>
      <c r="CI139" s="17"/>
      <c r="CJ139" s="17"/>
      <c r="CK139" s="3" t="s">
        <v>165</v>
      </c>
      <c r="CV139" s="346">
        <f t="shared" si="103"/>
        <v>1</v>
      </c>
    </row>
    <row r="140" spans="1:303" s="1" customFormat="1" ht="65.099999999999994" customHeight="1" x14ac:dyDescent="0.25">
      <c r="A140" s="356" t="s">
        <v>79</v>
      </c>
      <c r="B140" s="356" t="s">
        <v>80</v>
      </c>
      <c r="C140" s="356" t="s">
        <v>81</v>
      </c>
      <c r="D140" s="356" t="s">
        <v>82</v>
      </c>
      <c r="E140" s="356" t="s">
        <v>83</v>
      </c>
      <c r="F140" s="356" t="s">
        <v>84</v>
      </c>
      <c r="G140" s="356" t="s">
        <v>85</v>
      </c>
      <c r="H140" s="356" t="s">
        <v>86</v>
      </c>
      <c r="I140" s="356" t="s">
        <v>87</v>
      </c>
      <c r="J140" s="356" t="s">
        <v>152</v>
      </c>
      <c r="K140" s="357" t="s">
        <v>12</v>
      </c>
      <c r="L140" s="357" t="s">
        <v>652</v>
      </c>
      <c r="M140" s="357" t="s">
        <v>181</v>
      </c>
      <c r="N140" s="367" t="s">
        <v>91</v>
      </c>
      <c r="O140" s="367" t="s">
        <v>154</v>
      </c>
      <c r="P140" s="930">
        <v>39542136.277533107</v>
      </c>
      <c r="Q140" s="368" t="s">
        <v>654</v>
      </c>
      <c r="R140" s="357" t="s">
        <v>156</v>
      </c>
      <c r="S140" s="371">
        <v>1</v>
      </c>
      <c r="T140" s="369" t="s">
        <v>182</v>
      </c>
      <c r="U140" s="357" t="s">
        <v>183</v>
      </c>
      <c r="V140" s="357" t="s">
        <v>98</v>
      </c>
      <c r="W140" s="497" t="s">
        <v>1070</v>
      </c>
      <c r="X140" s="432">
        <v>0</v>
      </c>
      <c r="Y140" s="432">
        <v>0</v>
      </c>
      <c r="Z140" s="432">
        <v>0.5</v>
      </c>
      <c r="AA140" s="444">
        <v>0.5</v>
      </c>
      <c r="AB140" s="814">
        <v>7.14</v>
      </c>
      <c r="AC140" s="815">
        <v>1.3333333333333333</v>
      </c>
      <c r="AD140" s="815">
        <v>0.40317457142857144</v>
      </c>
      <c r="AE140" s="413">
        <v>0.37727272727272726</v>
      </c>
      <c r="AF140" s="816">
        <f t="shared" si="91"/>
        <v>0</v>
      </c>
      <c r="AG140" s="817" t="s">
        <v>146</v>
      </c>
      <c r="AH140" s="818">
        <v>0</v>
      </c>
      <c r="AI140" s="351"/>
      <c r="AJ140" s="819" t="s">
        <v>1071</v>
      </c>
      <c r="AK140" s="817"/>
      <c r="AL140" s="816">
        <f t="shared" si="77"/>
        <v>0</v>
      </c>
      <c r="AM140" s="819" t="s">
        <v>121</v>
      </c>
      <c r="AN140" s="817">
        <f t="shared" si="78"/>
        <v>0</v>
      </c>
      <c r="AO140" s="817">
        <f t="shared" si="79"/>
        <v>0</v>
      </c>
      <c r="AP140" s="817">
        <f t="shared" si="80"/>
        <v>0</v>
      </c>
      <c r="AQ140" s="817"/>
      <c r="AR140" s="816">
        <f t="shared" si="92"/>
        <v>0</v>
      </c>
      <c r="AS140" s="817" t="s">
        <v>100</v>
      </c>
      <c r="AT140" s="820">
        <v>0</v>
      </c>
      <c r="AU140" s="351"/>
      <c r="AV140" s="824"/>
      <c r="AW140" s="821" t="str">
        <f t="shared" si="81"/>
        <v>BAJO</v>
      </c>
      <c r="AX140" s="822">
        <f t="shared" si="82"/>
        <v>0</v>
      </c>
      <c r="AY140" s="823" t="s">
        <v>1072</v>
      </c>
      <c r="AZ140" s="316">
        <f t="shared" si="83"/>
        <v>0</v>
      </c>
      <c r="BA140" s="316">
        <f t="shared" si="84"/>
        <v>0</v>
      </c>
      <c r="BB140" s="316">
        <f t="shared" si="85"/>
        <v>0</v>
      </c>
      <c r="BC140" s="15"/>
      <c r="BD140" s="822">
        <f t="shared" si="86"/>
        <v>0.5</v>
      </c>
      <c r="BE140" s="817" t="s">
        <v>100</v>
      </c>
      <c r="BF140" s="820">
        <f>1/1</f>
        <v>1</v>
      </c>
      <c r="BG140" s="317"/>
      <c r="BH140" s="829" t="s">
        <v>1002</v>
      </c>
      <c r="BI140" s="317" t="str">
        <f t="shared" si="93"/>
        <v>ALTO</v>
      </c>
      <c r="BJ140" s="827">
        <f t="shared" si="87"/>
        <v>0.5</v>
      </c>
      <c r="BK140" s="813" t="s">
        <v>1073</v>
      </c>
      <c r="BL140" s="828">
        <f t="shared" si="94"/>
        <v>7.0028011204481794E-2</v>
      </c>
      <c r="BM140" s="828">
        <f t="shared" si="95"/>
        <v>0.375</v>
      </c>
      <c r="BN140" s="828">
        <f t="shared" si="96"/>
        <v>1.2401575779651637</v>
      </c>
      <c r="BO140" s="317"/>
      <c r="BP140" s="888">
        <v>0.5</v>
      </c>
      <c r="BQ140" s="854" t="s">
        <v>105</v>
      </c>
      <c r="BR140" s="876">
        <v>1</v>
      </c>
      <c r="BS140" s="889"/>
      <c r="BT140" s="856" t="s">
        <v>1004</v>
      </c>
      <c r="BU140" s="905" t="str">
        <f t="shared" si="88"/>
        <v>ALTO</v>
      </c>
      <c r="BV140" s="875">
        <f t="shared" si="89"/>
        <v>0.5</v>
      </c>
      <c r="BW140" s="859" t="s">
        <v>1074</v>
      </c>
      <c r="BX140" s="857">
        <f t="shared" si="97"/>
        <v>3.57</v>
      </c>
      <c r="BY140" s="857">
        <f t="shared" si="98"/>
        <v>0.66666666666666663</v>
      </c>
      <c r="BZ140" s="857">
        <f t="shared" si="99"/>
        <v>0.20158728571428572</v>
      </c>
      <c r="CA140" s="857">
        <f t="shared" si="100"/>
        <v>0.18863636363636363</v>
      </c>
      <c r="CB140" s="16">
        <f t="shared" si="101"/>
        <v>1</v>
      </c>
      <c r="CC140" s="16">
        <f t="shared" si="102"/>
        <v>0</v>
      </c>
      <c r="CD140" s="16">
        <f t="shared" si="74"/>
        <v>1</v>
      </c>
      <c r="CE140" s="16">
        <f t="shared" si="75"/>
        <v>1</v>
      </c>
      <c r="CF140" s="16" t="e">
        <f>SUM(#REF!/(CC140+CB140))</f>
        <v>#REF!</v>
      </c>
      <c r="CG140" s="17"/>
      <c r="CH140" s="17"/>
      <c r="CI140" s="17"/>
      <c r="CJ140" s="17"/>
      <c r="CK140" s="3" t="s">
        <v>165</v>
      </c>
      <c r="CV140" s="346">
        <f t="shared" si="103"/>
        <v>1</v>
      </c>
    </row>
    <row r="141" spans="1:303" s="319" customFormat="1" ht="65.099999999999994" customHeight="1" x14ac:dyDescent="0.25">
      <c r="A141" s="356" t="s">
        <v>79</v>
      </c>
      <c r="B141" s="356" t="s">
        <v>80</v>
      </c>
      <c r="C141" s="356" t="s">
        <v>81</v>
      </c>
      <c r="D141" s="356" t="s">
        <v>82</v>
      </c>
      <c r="E141" s="356" t="s">
        <v>83</v>
      </c>
      <c r="F141" s="356" t="s">
        <v>84</v>
      </c>
      <c r="G141" s="356" t="s">
        <v>85</v>
      </c>
      <c r="H141" s="356" t="s">
        <v>86</v>
      </c>
      <c r="I141" s="356" t="s">
        <v>87</v>
      </c>
      <c r="J141" s="356" t="s">
        <v>152</v>
      </c>
      <c r="K141" s="357" t="s">
        <v>12</v>
      </c>
      <c r="L141" s="357" t="s">
        <v>652</v>
      </c>
      <c r="M141" s="357" t="s">
        <v>633</v>
      </c>
      <c r="N141" s="367" t="s">
        <v>91</v>
      </c>
      <c r="O141" s="367" t="s">
        <v>154</v>
      </c>
      <c r="P141" s="917"/>
      <c r="Q141" s="368" t="s">
        <v>654</v>
      </c>
      <c r="R141" s="357" t="s">
        <v>156</v>
      </c>
      <c r="S141" s="378">
        <v>1</v>
      </c>
      <c r="T141" s="369" t="s">
        <v>191</v>
      </c>
      <c r="U141" s="357" t="s">
        <v>158</v>
      </c>
      <c r="V141" s="357" t="s">
        <v>98</v>
      </c>
      <c r="W141" s="497" t="s">
        <v>634</v>
      </c>
      <c r="X141" s="432">
        <v>0</v>
      </c>
      <c r="Y141" s="432">
        <v>0</v>
      </c>
      <c r="Z141" s="432">
        <v>0</v>
      </c>
      <c r="AA141" s="444">
        <v>0</v>
      </c>
      <c r="AB141" s="814"/>
      <c r="AC141" s="815"/>
      <c r="AD141" s="815"/>
      <c r="AE141" s="413">
        <v>0.37727272727272726</v>
      </c>
      <c r="AF141" s="816">
        <f t="shared" si="91"/>
        <v>0</v>
      </c>
      <c r="AG141" s="817" t="s">
        <v>146</v>
      </c>
      <c r="AH141" s="818">
        <v>0</v>
      </c>
      <c r="AI141" s="351"/>
      <c r="AJ141" s="825" t="s">
        <v>1075</v>
      </c>
      <c r="AK141" s="817"/>
      <c r="AL141" s="816">
        <f t="shared" si="77"/>
        <v>0</v>
      </c>
      <c r="AM141" s="819" t="s">
        <v>121</v>
      </c>
      <c r="AN141" s="817">
        <f t="shared" si="78"/>
        <v>0</v>
      </c>
      <c r="AO141" s="817">
        <f t="shared" si="79"/>
        <v>0</v>
      </c>
      <c r="AP141" s="817">
        <f t="shared" si="80"/>
        <v>0</v>
      </c>
      <c r="AQ141" s="817"/>
      <c r="AR141" s="816">
        <f t="shared" si="92"/>
        <v>0</v>
      </c>
      <c r="AS141" s="817" t="s">
        <v>146</v>
      </c>
      <c r="AT141" s="820">
        <v>0</v>
      </c>
      <c r="AU141" s="351"/>
      <c r="AV141" s="825" t="s">
        <v>1075</v>
      </c>
      <c r="AW141" s="821"/>
      <c r="AX141" s="822">
        <f t="shared" si="82"/>
        <v>0</v>
      </c>
      <c r="AY141" s="823" t="s">
        <v>1076</v>
      </c>
      <c r="AZ141" s="316">
        <f t="shared" si="83"/>
        <v>0</v>
      </c>
      <c r="BA141" s="316">
        <f t="shared" si="84"/>
        <v>0</v>
      </c>
      <c r="BB141" s="316">
        <f t="shared" si="85"/>
        <v>0</v>
      </c>
      <c r="BC141" s="316"/>
      <c r="BD141" s="822">
        <f t="shared" si="86"/>
        <v>0</v>
      </c>
      <c r="BE141" s="822" t="s">
        <v>100</v>
      </c>
      <c r="BF141" s="827">
        <f>1/1</f>
        <v>1</v>
      </c>
      <c r="BG141" s="317"/>
      <c r="BH141" s="825" t="s">
        <v>1075</v>
      </c>
      <c r="BI141" s="317" t="str">
        <f t="shared" si="93"/>
        <v>ALTO</v>
      </c>
      <c r="BJ141" s="827">
        <f t="shared" si="87"/>
        <v>0</v>
      </c>
      <c r="BK141" s="317" t="s">
        <v>355</v>
      </c>
      <c r="BL141" s="828" t="e">
        <f t="shared" si="94"/>
        <v>#DIV/0!</v>
      </c>
      <c r="BM141" s="828" t="e">
        <f t="shared" si="95"/>
        <v>#DIV/0!</v>
      </c>
      <c r="BN141" s="828" t="e">
        <f t="shared" si="96"/>
        <v>#DIV/0!</v>
      </c>
      <c r="BO141" s="317"/>
      <c r="BP141" s="855">
        <v>0.66</v>
      </c>
      <c r="BQ141" s="854" t="s">
        <v>105</v>
      </c>
      <c r="BR141" s="861">
        <v>1</v>
      </c>
      <c r="BS141" s="854"/>
      <c r="BT141" s="854"/>
      <c r="BU141" s="905" t="str">
        <f t="shared" si="88"/>
        <v>ALTO</v>
      </c>
      <c r="BV141" s="862">
        <f t="shared" ref="BV141:BV176" si="104">BP141*BR141</f>
        <v>0.66</v>
      </c>
      <c r="BW141" s="859" t="s">
        <v>355</v>
      </c>
      <c r="BX141" s="857">
        <f t="shared" si="97"/>
        <v>0</v>
      </c>
      <c r="BY141" s="857">
        <f t="shared" si="98"/>
        <v>0</v>
      </c>
      <c r="BZ141" s="857">
        <f t="shared" si="99"/>
        <v>0</v>
      </c>
      <c r="CA141" s="857">
        <f t="shared" si="100"/>
        <v>0.249</v>
      </c>
      <c r="CB141" s="16">
        <f t="shared" si="101"/>
        <v>0.66</v>
      </c>
      <c r="CC141" s="16">
        <f t="shared" si="102"/>
        <v>0</v>
      </c>
      <c r="CD141" s="16"/>
      <c r="CE141" s="16"/>
      <c r="CF141" s="16" t="e">
        <f>SUM(#REF!/(CC141+CB141))</f>
        <v>#REF!</v>
      </c>
      <c r="CG141" s="317"/>
      <c r="CH141" s="317"/>
      <c r="CI141" s="317"/>
      <c r="CJ141" s="317"/>
      <c r="CK141" s="318" t="s">
        <v>165</v>
      </c>
      <c r="CV141" s="346">
        <f t="shared" si="103"/>
        <v>0</v>
      </c>
    </row>
    <row r="142" spans="1:303" s="319" customFormat="1" ht="65.099999999999994" customHeight="1" x14ac:dyDescent="0.25">
      <c r="A142" s="356" t="s">
        <v>79</v>
      </c>
      <c r="B142" s="356" t="s">
        <v>80</v>
      </c>
      <c r="C142" s="356" t="s">
        <v>81</v>
      </c>
      <c r="D142" s="356" t="s">
        <v>82</v>
      </c>
      <c r="E142" s="356" t="s">
        <v>83</v>
      </c>
      <c r="F142" s="356" t="s">
        <v>84</v>
      </c>
      <c r="G142" s="356" t="s">
        <v>85</v>
      </c>
      <c r="H142" s="356" t="s">
        <v>86</v>
      </c>
      <c r="I142" s="356" t="s">
        <v>87</v>
      </c>
      <c r="J142" s="356" t="s">
        <v>152</v>
      </c>
      <c r="K142" s="357" t="s">
        <v>12</v>
      </c>
      <c r="L142" s="357" t="s">
        <v>652</v>
      </c>
      <c r="M142" s="357" t="s">
        <v>195</v>
      </c>
      <c r="N142" s="367" t="s">
        <v>91</v>
      </c>
      <c r="O142" s="367" t="s">
        <v>154</v>
      </c>
      <c r="P142" s="930">
        <v>39542136.277533107</v>
      </c>
      <c r="Q142" s="368" t="s">
        <v>654</v>
      </c>
      <c r="R142" s="357" t="s">
        <v>156</v>
      </c>
      <c r="S142" s="357">
        <v>7</v>
      </c>
      <c r="T142" s="369" t="s">
        <v>196</v>
      </c>
      <c r="U142" s="357" t="s">
        <v>158</v>
      </c>
      <c r="V142" s="370" t="s">
        <v>98</v>
      </c>
      <c r="W142" s="497" t="s">
        <v>197</v>
      </c>
      <c r="X142" s="432">
        <v>0</v>
      </c>
      <c r="Y142" s="432">
        <f>1/7</f>
        <v>0.14285714285714285</v>
      </c>
      <c r="Z142" s="432">
        <f>3/7</f>
        <v>0.42857142857142855</v>
      </c>
      <c r="AA142" s="444">
        <f>3/7</f>
        <v>0.42857142857142855</v>
      </c>
      <c r="AB142" s="814">
        <v>7.14</v>
      </c>
      <c r="AC142" s="815">
        <v>1.3333333333333333</v>
      </c>
      <c r="AD142" s="815">
        <v>0.40317457142857144</v>
      </c>
      <c r="AE142" s="413">
        <v>0.37727272727272726</v>
      </c>
      <c r="AF142" s="816">
        <f t="shared" si="91"/>
        <v>0</v>
      </c>
      <c r="AG142" s="817" t="s">
        <v>146</v>
      </c>
      <c r="AH142" s="818">
        <v>0</v>
      </c>
      <c r="AI142" s="351" t="s">
        <v>1060</v>
      </c>
      <c r="AJ142" s="819" t="s">
        <v>1000</v>
      </c>
      <c r="AK142" s="817"/>
      <c r="AL142" s="816">
        <f t="shared" si="77"/>
        <v>0</v>
      </c>
      <c r="AM142" s="819" t="s">
        <v>121</v>
      </c>
      <c r="AN142" s="817">
        <f t="shared" si="78"/>
        <v>0</v>
      </c>
      <c r="AO142" s="817">
        <f t="shared" si="79"/>
        <v>0</v>
      </c>
      <c r="AP142" s="817">
        <f t="shared" si="80"/>
        <v>0</v>
      </c>
      <c r="AQ142" s="817"/>
      <c r="AR142" s="816">
        <f t="shared" si="92"/>
        <v>0.14285714285714285</v>
      </c>
      <c r="AS142" s="817" t="s">
        <v>100</v>
      </c>
      <c r="AT142" s="826">
        <v>1</v>
      </c>
      <c r="AU142" s="351"/>
      <c r="AV142" s="825" t="s">
        <v>1077</v>
      </c>
      <c r="AW142" s="821" t="str">
        <f t="shared" si="81"/>
        <v>ALTO</v>
      </c>
      <c r="AX142" s="822">
        <f t="shared" si="82"/>
        <v>0.14285714285714285</v>
      </c>
      <c r="AY142" s="823" t="s">
        <v>102</v>
      </c>
      <c r="AZ142" s="316">
        <f t="shared" si="83"/>
        <v>1.0199999999999998</v>
      </c>
      <c r="BA142" s="316">
        <f t="shared" si="84"/>
        <v>0.19047619047619047</v>
      </c>
      <c r="BB142" s="316">
        <f t="shared" si="85"/>
        <v>5.7596367346938772E-2</v>
      </c>
      <c r="BC142" s="316"/>
      <c r="BD142" s="822">
        <f t="shared" si="86"/>
        <v>0.42857142857142855</v>
      </c>
      <c r="BE142" s="817" t="s">
        <v>100</v>
      </c>
      <c r="BF142" s="820">
        <f>3/3</f>
        <v>1</v>
      </c>
      <c r="BG142" s="317"/>
      <c r="BH142" s="825" t="s">
        <v>1078</v>
      </c>
      <c r="BI142" s="317" t="str">
        <f t="shared" si="93"/>
        <v>ALTO</v>
      </c>
      <c r="BJ142" s="827">
        <f t="shared" si="87"/>
        <v>0.42857142857142855</v>
      </c>
      <c r="BK142" s="317" t="s">
        <v>1079</v>
      </c>
      <c r="BL142" s="828">
        <f t="shared" si="94"/>
        <v>6.0024009603841535E-2</v>
      </c>
      <c r="BM142" s="828">
        <f t="shared" si="95"/>
        <v>0.32142857142857145</v>
      </c>
      <c r="BN142" s="828">
        <f t="shared" si="96"/>
        <v>1.062992209684426</v>
      </c>
      <c r="BO142" s="317"/>
      <c r="BP142" s="888">
        <v>0.43</v>
      </c>
      <c r="BQ142" s="854" t="s">
        <v>105</v>
      </c>
      <c r="BR142" s="861">
        <v>1</v>
      </c>
      <c r="BS142" s="854"/>
      <c r="BT142" s="890" t="s">
        <v>1080</v>
      </c>
      <c r="BU142" s="905" t="str">
        <f t="shared" si="88"/>
        <v>ALTO</v>
      </c>
      <c r="BV142" s="875">
        <f t="shared" si="104"/>
        <v>0.43</v>
      </c>
      <c r="BW142" s="859" t="s">
        <v>645</v>
      </c>
      <c r="BX142" s="857">
        <f t="shared" si="97"/>
        <v>3.0701999999999998</v>
      </c>
      <c r="BY142" s="857">
        <f t="shared" si="98"/>
        <v>0.57333333333333325</v>
      </c>
      <c r="BZ142" s="857">
        <f t="shared" si="99"/>
        <v>0.17336506571428573</v>
      </c>
      <c r="CA142" s="857">
        <f t="shared" si="100"/>
        <v>0.16222727272727272</v>
      </c>
      <c r="CB142" s="16">
        <f t="shared" si="101"/>
        <v>0.85857142857142854</v>
      </c>
      <c r="CC142" s="16">
        <f t="shared" si="102"/>
        <v>0.14285714285714285</v>
      </c>
      <c r="CD142" s="16">
        <f t="shared" ref="CD142:CD173" si="105">SUM(X142+Y142+Z142+AA142)</f>
        <v>1</v>
      </c>
      <c r="CE142" s="16">
        <f t="shared" ref="CE142:CE205" si="106">SUM(AL142+AX142+BJ142+BV142)</f>
        <v>1.0014285714285713</v>
      </c>
      <c r="CF142" s="16" t="e">
        <f>SUM(#REF!/(CC142+CB142))</f>
        <v>#REF!</v>
      </c>
      <c r="CG142" s="317"/>
      <c r="CH142" s="317"/>
      <c r="CI142" s="317"/>
      <c r="CJ142" s="317"/>
      <c r="CK142" s="318" t="s">
        <v>165</v>
      </c>
      <c r="CV142" s="346">
        <f t="shared" si="103"/>
        <v>1</v>
      </c>
    </row>
    <row r="143" spans="1:303" s="319" customFormat="1" ht="65.099999999999994" customHeight="1" x14ac:dyDescent="0.25">
      <c r="A143" s="356" t="s">
        <v>79</v>
      </c>
      <c r="B143" s="356" t="s">
        <v>80</v>
      </c>
      <c r="C143" s="356" t="s">
        <v>81</v>
      </c>
      <c r="D143" s="356" t="s">
        <v>82</v>
      </c>
      <c r="E143" s="356" t="s">
        <v>83</v>
      </c>
      <c r="F143" s="356" t="s">
        <v>84</v>
      </c>
      <c r="G143" s="356" t="s">
        <v>85</v>
      </c>
      <c r="H143" s="356" t="s">
        <v>86</v>
      </c>
      <c r="I143" s="356" t="s">
        <v>87</v>
      </c>
      <c r="J143" s="356" t="s">
        <v>152</v>
      </c>
      <c r="K143" s="357" t="s">
        <v>12</v>
      </c>
      <c r="L143" s="357" t="s">
        <v>652</v>
      </c>
      <c r="M143" s="357" t="s">
        <v>201</v>
      </c>
      <c r="N143" s="367" t="s">
        <v>91</v>
      </c>
      <c r="O143" s="367" t="s">
        <v>202</v>
      </c>
      <c r="P143" s="930">
        <v>39542136.277533107</v>
      </c>
      <c r="Q143" s="368" t="s">
        <v>654</v>
      </c>
      <c r="R143" s="357" t="s">
        <v>156</v>
      </c>
      <c r="S143" s="378">
        <v>1</v>
      </c>
      <c r="T143" s="369" t="s">
        <v>203</v>
      </c>
      <c r="U143" s="357" t="s">
        <v>204</v>
      </c>
      <c r="V143" s="357" t="s">
        <v>98</v>
      </c>
      <c r="W143" s="497" t="s">
        <v>205</v>
      </c>
      <c r="X143" s="432">
        <v>0</v>
      </c>
      <c r="Y143" s="432">
        <v>0</v>
      </c>
      <c r="Z143" s="432">
        <v>0</v>
      </c>
      <c r="AA143" s="444">
        <v>1</v>
      </c>
      <c r="AB143" s="525">
        <v>7.14</v>
      </c>
      <c r="AC143" s="413">
        <v>1.3333333333333333</v>
      </c>
      <c r="AD143" s="413">
        <v>0.40317457142857144</v>
      </c>
      <c r="AE143" s="413">
        <v>0.37727272727272726</v>
      </c>
      <c r="AF143" s="692">
        <f t="shared" si="91"/>
        <v>0</v>
      </c>
      <c r="AG143" s="693" t="s">
        <v>146</v>
      </c>
      <c r="AH143" s="698">
        <v>0</v>
      </c>
      <c r="AI143" s="706"/>
      <c r="AJ143" s="693"/>
      <c r="AK143" s="693"/>
      <c r="AL143" s="692">
        <f t="shared" si="77"/>
        <v>0</v>
      </c>
      <c r="AM143" s="697" t="s">
        <v>121</v>
      </c>
      <c r="AN143" s="693">
        <f t="shared" si="78"/>
        <v>0</v>
      </c>
      <c r="AO143" s="693">
        <f t="shared" si="79"/>
        <v>0</v>
      </c>
      <c r="AP143" s="693">
        <f t="shared" si="80"/>
        <v>0</v>
      </c>
      <c r="AQ143" s="693"/>
      <c r="AR143" s="401">
        <f t="shared" si="92"/>
        <v>0</v>
      </c>
      <c r="AS143" s="402" t="s">
        <v>146</v>
      </c>
      <c r="AT143" s="405">
        <v>0</v>
      </c>
      <c r="AU143" s="628"/>
      <c r="AV143" s="629"/>
      <c r="AW143" s="729"/>
      <c r="AX143" s="397">
        <f t="shared" si="82"/>
        <v>0</v>
      </c>
      <c r="AY143" s="399" t="s">
        <v>121</v>
      </c>
      <c r="AZ143" s="398">
        <f t="shared" si="83"/>
        <v>0</v>
      </c>
      <c r="BA143" s="398">
        <f t="shared" si="84"/>
        <v>0</v>
      </c>
      <c r="BB143" s="398">
        <f t="shared" si="85"/>
        <v>0</v>
      </c>
      <c r="BC143" s="316"/>
      <c r="BD143" s="14">
        <f t="shared" si="86"/>
        <v>0</v>
      </c>
      <c r="BE143" s="677" t="s">
        <v>146</v>
      </c>
      <c r="BF143" s="681"/>
      <c r="BG143" s="658"/>
      <c r="BH143" s="658"/>
      <c r="BI143" s="658" t="str">
        <f t="shared" si="93"/>
        <v>BAJO</v>
      </c>
      <c r="BJ143" s="681">
        <f t="shared" si="87"/>
        <v>0</v>
      </c>
      <c r="BK143" s="658" t="s">
        <v>355</v>
      </c>
      <c r="BL143" s="682">
        <f t="shared" si="94"/>
        <v>0</v>
      </c>
      <c r="BM143" s="682">
        <f t="shared" si="95"/>
        <v>0</v>
      </c>
      <c r="BN143" s="682">
        <f t="shared" si="96"/>
        <v>0</v>
      </c>
      <c r="BO143" s="658"/>
      <c r="BP143" s="888">
        <v>1</v>
      </c>
      <c r="BQ143" s="854" t="s">
        <v>105</v>
      </c>
      <c r="BR143" s="861">
        <v>0</v>
      </c>
      <c r="BS143" s="854"/>
      <c r="BT143" s="854"/>
      <c r="BU143" s="907" t="str">
        <f t="shared" si="88"/>
        <v>BAJO</v>
      </c>
      <c r="BV143" s="875">
        <f t="shared" si="104"/>
        <v>0</v>
      </c>
      <c r="BW143" s="859" t="s">
        <v>993</v>
      </c>
      <c r="BX143" s="857">
        <f t="shared" si="97"/>
        <v>0</v>
      </c>
      <c r="BY143" s="857">
        <f t="shared" si="98"/>
        <v>0</v>
      </c>
      <c r="BZ143" s="857">
        <f t="shared" si="99"/>
        <v>0</v>
      </c>
      <c r="CA143" s="857">
        <f t="shared" si="100"/>
        <v>0</v>
      </c>
      <c r="CB143" s="16">
        <f t="shared" si="101"/>
        <v>1</v>
      </c>
      <c r="CC143" s="16">
        <f t="shared" si="102"/>
        <v>0</v>
      </c>
      <c r="CD143" s="16">
        <f t="shared" si="105"/>
        <v>1</v>
      </c>
      <c r="CE143" s="16">
        <f t="shared" si="106"/>
        <v>0</v>
      </c>
      <c r="CF143" s="16" t="e">
        <f>SUM(#REF!/(CC143+CB143))</f>
        <v>#REF!</v>
      </c>
      <c r="CG143" s="317"/>
      <c r="CH143" s="317"/>
      <c r="CI143" s="317"/>
      <c r="CJ143" s="317"/>
      <c r="CK143" s="318" t="s">
        <v>165</v>
      </c>
      <c r="CV143" s="346">
        <f t="shared" si="103"/>
        <v>1</v>
      </c>
    </row>
    <row r="144" spans="1:303" s="1" customFormat="1" ht="65.099999999999994" customHeight="1" x14ac:dyDescent="0.25">
      <c r="A144" s="354" t="s">
        <v>79</v>
      </c>
      <c r="B144" s="354" t="s">
        <v>80</v>
      </c>
      <c r="C144" s="354" t="s">
        <v>81</v>
      </c>
      <c r="D144" s="354" t="s">
        <v>82</v>
      </c>
      <c r="E144" s="354" t="s">
        <v>83</v>
      </c>
      <c r="F144" s="354" t="s">
        <v>84</v>
      </c>
      <c r="G144" s="354" t="s">
        <v>85</v>
      </c>
      <c r="H144" s="354" t="s">
        <v>640</v>
      </c>
      <c r="I144" s="358" t="s">
        <v>681</v>
      </c>
      <c r="J144" s="354" t="s">
        <v>1081</v>
      </c>
      <c r="K144" s="348" t="s">
        <v>1082</v>
      </c>
      <c r="L144" s="348" t="s">
        <v>652</v>
      </c>
      <c r="M144" s="687" t="s">
        <v>1083</v>
      </c>
      <c r="N144" s="361" t="s">
        <v>444</v>
      </c>
      <c r="O144" s="361" t="s">
        <v>445</v>
      </c>
      <c r="P144" s="924">
        <v>504094444.44444442</v>
      </c>
      <c r="Q144" s="364" t="s">
        <v>654</v>
      </c>
      <c r="R144" s="364" t="s">
        <v>213</v>
      </c>
      <c r="S144" s="386">
        <v>1</v>
      </c>
      <c r="T144" s="383" t="s">
        <v>1084</v>
      </c>
      <c r="U144" s="383" t="s">
        <v>1085</v>
      </c>
      <c r="V144" s="383" t="s">
        <v>98</v>
      </c>
      <c r="W144" s="386" t="s">
        <v>1086</v>
      </c>
      <c r="X144" s="441">
        <v>0.25</v>
      </c>
      <c r="Y144" s="441">
        <v>0.25</v>
      </c>
      <c r="Z144" s="441">
        <v>0.25</v>
      </c>
      <c r="AA144" s="522">
        <v>0.25</v>
      </c>
      <c r="AB144" s="525">
        <v>6.25</v>
      </c>
      <c r="AC144" s="413">
        <v>1.3333333333333333</v>
      </c>
      <c r="AD144" s="413">
        <v>0.35277775</v>
      </c>
      <c r="AE144" s="413">
        <v>0.36666666666666664</v>
      </c>
      <c r="AF144" s="692">
        <f t="shared" si="91"/>
        <v>0.25</v>
      </c>
      <c r="AG144" s="693" t="s">
        <v>100</v>
      </c>
      <c r="AH144" s="711">
        <f>20/21</f>
        <v>0.95238095238095233</v>
      </c>
      <c r="AI144" s="712" t="s">
        <v>1087</v>
      </c>
      <c r="AJ144" s="712"/>
      <c r="AK144" s="693" t="str">
        <f>+IF(AND(AH144&gt;=0%,AH144&lt;=60%),"BAJO",IF(AND(AH144&gt;=61%,AH144&lt;=80%),"MEDIO","ALTO"))</f>
        <v>ALTO</v>
      </c>
      <c r="AL144" s="692">
        <f t="shared" si="77"/>
        <v>0.23809523809523808</v>
      </c>
      <c r="AM144" s="697" t="s">
        <v>1088</v>
      </c>
      <c r="AN144" s="693">
        <f t="shared" si="78"/>
        <v>1.4880952380952379</v>
      </c>
      <c r="AO144" s="693">
        <f t="shared" si="79"/>
        <v>0.31746031746031744</v>
      </c>
      <c r="AP144" s="693">
        <f t="shared" si="80"/>
        <v>8.3994702380952371E-2</v>
      </c>
      <c r="AQ144" s="693"/>
      <c r="AR144" s="401">
        <f t="shared" si="92"/>
        <v>0.25</v>
      </c>
      <c r="AS144" s="402" t="s">
        <v>100</v>
      </c>
      <c r="AT144" s="410">
        <f>39/46</f>
        <v>0.84782608695652173</v>
      </c>
      <c r="AU144" s="631" t="s">
        <v>1089</v>
      </c>
      <c r="AV144" s="631" t="s">
        <v>1090</v>
      </c>
      <c r="AW144" s="729" t="str">
        <f t="shared" si="81"/>
        <v>ALTO</v>
      </c>
      <c r="AX144" s="397">
        <f t="shared" si="82"/>
        <v>0.21195652173913043</v>
      </c>
      <c r="AY144" s="400" t="s">
        <v>1091</v>
      </c>
      <c r="AZ144" s="398">
        <f t="shared" si="83"/>
        <v>1.3247282608695652</v>
      </c>
      <c r="BA144" s="398">
        <f t="shared" si="84"/>
        <v>0.28260869565217389</v>
      </c>
      <c r="BB144" s="398">
        <f t="shared" si="85"/>
        <v>7.4773544836956515E-2</v>
      </c>
      <c r="BC144" s="15"/>
      <c r="BD144" s="14">
        <f t="shared" si="86"/>
        <v>0.25</v>
      </c>
      <c r="BE144" s="773" t="s">
        <v>100</v>
      </c>
      <c r="BF144" s="774">
        <f>50/51</f>
        <v>0.98039215686274506</v>
      </c>
      <c r="BG144" s="680" t="s">
        <v>1092</v>
      </c>
      <c r="BH144" s="680" t="s">
        <v>1093</v>
      </c>
      <c r="BI144" s="658" t="str">
        <f t="shared" si="93"/>
        <v>ALTO</v>
      </c>
      <c r="BJ144" s="681">
        <f t="shared" si="87"/>
        <v>0.24509803921568626</v>
      </c>
      <c r="BK144" s="647" t="s">
        <v>1094</v>
      </c>
      <c r="BL144" s="682">
        <f t="shared" si="94"/>
        <v>3.9215686274509803E-2</v>
      </c>
      <c r="BM144" s="682">
        <f t="shared" si="95"/>
        <v>0.18382352941176472</v>
      </c>
      <c r="BN144" s="682">
        <f t="shared" si="96"/>
        <v>0.69476615012053977</v>
      </c>
      <c r="BO144" s="658"/>
      <c r="BP144" s="860">
        <v>0.25</v>
      </c>
      <c r="BQ144" s="854" t="s">
        <v>105</v>
      </c>
      <c r="BR144" s="891">
        <f>0/100</f>
        <v>0</v>
      </c>
      <c r="BS144" s="890" t="s">
        <v>1095</v>
      </c>
      <c r="BT144" s="890" t="s">
        <v>1090</v>
      </c>
      <c r="BU144" s="907" t="str">
        <f t="shared" si="88"/>
        <v>BAJO</v>
      </c>
      <c r="BV144" s="875">
        <f t="shared" si="104"/>
        <v>0</v>
      </c>
      <c r="BW144" s="859" t="s">
        <v>1096</v>
      </c>
      <c r="BX144" s="857">
        <f t="shared" si="97"/>
        <v>0</v>
      </c>
      <c r="BY144" s="857">
        <f t="shared" si="98"/>
        <v>0</v>
      </c>
      <c r="BZ144" s="857">
        <f t="shared" si="99"/>
        <v>0</v>
      </c>
      <c r="CA144" s="857">
        <f t="shared" si="100"/>
        <v>0</v>
      </c>
      <c r="CB144" s="16">
        <f t="shared" si="101"/>
        <v>0.5</v>
      </c>
      <c r="CC144" s="16">
        <f t="shared" si="102"/>
        <v>0.5</v>
      </c>
      <c r="CD144" s="16">
        <f t="shared" si="105"/>
        <v>1</v>
      </c>
      <c r="CE144" s="16">
        <f t="shared" si="106"/>
        <v>0.69514979905005481</v>
      </c>
      <c r="CF144" s="16" t="e">
        <f>SUM(#REF!/(CC144+CB144))</f>
        <v>#REF!</v>
      </c>
      <c r="CG144" s="17"/>
      <c r="CH144" s="17"/>
      <c r="CI144" s="17"/>
      <c r="CJ144" s="17"/>
      <c r="CV144" s="346">
        <f t="shared" si="103"/>
        <v>1</v>
      </c>
    </row>
    <row r="145" spans="1:100" s="1" customFormat="1" ht="65.099999999999994" customHeight="1" x14ac:dyDescent="0.25">
      <c r="A145" s="354" t="s">
        <v>79</v>
      </c>
      <c r="B145" s="354" t="s">
        <v>80</v>
      </c>
      <c r="C145" s="354" t="s">
        <v>81</v>
      </c>
      <c r="D145" s="354" t="s">
        <v>82</v>
      </c>
      <c r="E145" s="354" t="s">
        <v>83</v>
      </c>
      <c r="F145" s="354" t="s">
        <v>84</v>
      </c>
      <c r="G145" s="354" t="s">
        <v>85</v>
      </c>
      <c r="H145" s="354" t="s">
        <v>640</v>
      </c>
      <c r="I145" s="358" t="s">
        <v>681</v>
      </c>
      <c r="J145" s="354" t="s">
        <v>1081</v>
      </c>
      <c r="K145" s="348" t="s">
        <v>1082</v>
      </c>
      <c r="L145" s="348" t="s">
        <v>652</v>
      </c>
      <c r="M145" s="687" t="s">
        <v>1097</v>
      </c>
      <c r="N145" s="361" t="s">
        <v>444</v>
      </c>
      <c r="O145" s="361" t="s">
        <v>445</v>
      </c>
      <c r="P145" s="924">
        <v>504094444.44444442</v>
      </c>
      <c r="Q145" s="364" t="s">
        <v>654</v>
      </c>
      <c r="R145" s="364" t="s">
        <v>213</v>
      </c>
      <c r="S145" s="386">
        <v>1</v>
      </c>
      <c r="T145" s="383" t="s">
        <v>1084</v>
      </c>
      <c r="U145" s="383" t="s">
        <v>1085</v>
      </c>
      <c r="V145" s="383" t="s">
        <v>98</v>
      </c>
      <c r="W145" s="386" t="s">
        <v>1098</v>
      </c>
      <c r="X145" s="441">
        <v>0.25</v>
      </c>
      <c r="Y145" s="441">
        <v>0.25</v>
      </c>
      <c r="Z145" s="441">
        <v>0.25</v>
      </c>
      <c r="AA145" s="522">
        <v>0.25</v>
      </c>
      <c r="AB145" s="525">
        <v>6.25</v>
      </c>
      <c r="AC145" s="413">
        <v>1.3333333333333333</v>
      </c>
      <c r="AD145" s="413">
        <v>0.35277775</v>
      </c>
      <c r="AE145" s="413">
        <v>0.36666666666666664</v>
      </c>
      <c r="AF145" s="692">
        <f t="shared" si="91"/>
        <v>0.25</v>
      </c>
      <c r="AG145" s="693" t="s">
        <v>100</v>
      </c>
      <c r="AH145" s="711">
        <f>6/6</f>
        <v>1</v>
      </c>
      <c r="AI145" s="712" t="s">
        <v>1099</v>
      </c>
      <c r="AJ145" s="712"/>
      <c r="AK145" s="693" t="str">
        <f>+IF(AND(AH145&gt;=0%,AH145&lt;=60%),"BAJO",IF(AND(AH145&gt;=61%,AH145&lt;=80%),"MEDIO","ALTO"))</f>
        <v>ALTO</v>
      </c>
      <c r="AL145" s="692">
        <f t="shared" si="77"/>
        <v>0.25</v>
      </c>
      <c r="AM145" s="697" t="s">
        <v>714</v>
      </c>
      <c r="AN145" s="693">
        <f t="shared" si="78"/>
        <v>1.5625</v>
      </c>
      <c r="AO145" s="693">
        <f t="shared" si="79"/>
        <v>0.33333333333333331</v>
      </c>
      <c r="AP145" s="693">
        <f t="shared" si="80"/>
        <v>8.81944375E-2</v>
      </c>
      <c r="AQ145" s="693"/>
      <c r="AR145" s="401">
        <f t="shared" si="92"/>
        <v>0.25</v>
      </c>
      <c r="AS145" s="402" t="s">
        <v>100</v>
      </c>
      <c r="AT145" s="410">
        <f>9/9</f>
        <v>1</v>
      </c>
      <c r="AU145" s="631" t="s">
        <v>1100</v>
      </c>
      <c r="AV145" s="631" t="s">
        <v>1090</v>
      </c>
      <c r="AW145" s="729" t="str">
        <f t="shared" si="81"/>
        <v>ALTO</v>
      </c>
      <c r="AX145" s="397">
        <f t="shared" si="82"/>
        <v>0.25</v>
      </c>
      <c r="AY145" s="400" t="s">
        <v>246</v>
      </c>
      <c r="AZ145" s="398">
        <f t="shared" si="83"/>
        <v>1.5625</v>
      </c>
      <c r="BA145" s="398">
        <f t="shared" si="84"/>
        <v>0.33333333333333331</v>
      </c>
      <c r="BB145" s="398">
        <f t="shared" si="85"/>
        <v>8.81944375E-2</v>
      </c>
      <c r="BC145" s="15"/>
      <c r="BD145" s="14">
        <f t="shared" si="86"/>
        <v>0.25</v>
      </c>
      <c r="BE145" s="773" t="s">
        <v>100</v>
      </c>
      <c r="BF145" s="774">
        <f>6/6</f>
        <v>1</v>
      </c>
      <c r="BG145" s="680" t="s">
        <v>1101</v>
      </c>
      <c r="BH145" s="680" t="s">
        <v>1102</v>
      </c>
      <c r="BI145" s="658" t="str">
        <f t="shared" si="93"/>
        <v>ALTO</v>
      </c>
      <c r="BJ145" s="681">
        <f t="shared" si="87"/>
        <v>0.25</v>
      </c>
      <c r="BK145" s="647" t="s">
        <v>1103</v>
      </c>
      <c r="BL145" s="682">
        <f t="shared" si="94"/>
        <v>0.04</v>
      </c>
      <c r="BM145" s="682">
        <f t="shared" si="95"/>
        <v>0.1875</v>
      </c>
      <c r="BN145" s="682">
        <f t="shared" si="96"/>
        <v>0.70866147312295069</v>
      </c>
      <c r="BO145" s="658"/>
      <c r="BP145" s="860">
        <v>0.25</v>
      </c>
      <c r="BQ145" s="854" t="s">
        <v>105</v>
      </c>
      <c r="BR145" s="891">
        <v>1</v>
      </c>
      <c r="BS145" s="890" t="s">
        <v>1104</v>
      </c>
      <c r="BT145" s="890" t="s">
        <v>1090</v>
      </c>
      <c r="BU145" s="905" t="str">
        <f t="shared" si="88"/>
        <v>ALTO</v>
      </c>
      <c r="BV145" s="875">
        <f t="shared" si="104"/>
        <v>0.25</v>
      </c>
      <c r="BW145" s="859" t="s">
        <v>1023</v>
      </c>
      <c r="BX145" s="857">
        <f t="shared" si="97"/>
        <v>1.5625</v>
      </c>
      <c r="BY145" s="857">
        <f t="shared" si="98"/>
        <v>0.33333333333333331</v>
      </c>
      <c r="BZ145" s="857">
        <f t="shared" si="99"/>
        <v>8.81944375E-2</v>
      </c>
      <c r="CA145" s="857">
        <f t="shared" si="100"/>
        <v>9.166666666666666E-2</v>
      </c>
      <c r="CB145" s="16">
        <f t="shared" si="101"/>
        <v>0.5</v>
      </c>
      <c r="CC145" s="16">
        <f t="shared" si="102"/>
        <v>0.5</v>
      </c>
      <c r="CD145" s="16">
        <f t="shared" si="105"/>
        <v>1</v>
      </c>
      <c r="CE145" s="16">
        <f t="shared" si="106"/>
        <v>1</v>
      </c>
      <c r="CF145" s="16" t="e">
        <f>SUM(#REF!/(CC145+CB145))</f>
        <v>#REF!</v>
      </c>
      <c r="CG145" s="17"/>
      <c r="CH145" s="17"/>
      <c r="CI145" s="17"/>
      <c r="CJ145" s="17"/>
      <c r="CV145" s="346">
        <f t="shared" si="103"/>
        <v>1</v>
      </c>
    </row>
    <row r="146" spans="1:100" s="1" customFormat="1" ht="65.099999999999994" customHeight="1" x14ac:dyDescent="0.25">
      <c r="A146" s="354" t="s">
        <v>79</v>
      </c>
      <c r="B146" s="354" t="s">
        <v>80</v>
      </c>
      <c r="C146" s="354" t="s">
        <v>81</v>
      </c>
      <c r="D146" s="354" t="s">
        <v>82</v>
      </c>
      <c r="E146" s="354" t="s">
        <v>83</v>
      </c>
      <c r="F146" s="354" t="s">
        <v>84</v>
      </c>
      <c r="G146" s="354" t="s">
        <v>85</v>
      </c>
      <c r="H146" s="354" t="s">
        <v>640</v>
      </c>
      <c r="I146" s="358" t="s">
        <v>681</v>
      </c>
      <c r="J146" s="354" t="s">
        <v>1081</v>
      </c>
      <c r="K146" s="348" t="s">
        <v>1082</v>
      </c>
      <c r="L146" s="348" t="s">
        <v>652</v>
      </c>
      <c r="M146" s="687" t="s">
        <v>1105</v>
      </c>
      <c r="N146" s="361" t="s">
        <v>444</v>
      </c>
      <c r="O146" s="361" t="s">
        <v>445</v>
      </c>
      <c r="P146" s="924">
        <v>504094444.44444442</v>
      </c>
      <c r="Q146" s="364" t="s">
        <v>654</v>
      </c>
      <c r="R146" s="364" t="s">
        <v>213</v>
      </c>
      <c r="S146" s="386">
        <v>1</v>
      </c>
      <c r="T146" s="383" t="s">
        <v>1106</v>
      </c>
      <c r="U146" s="390" t="s">
        <v>1107</v>
      </c>
      <c r="V146" s="383" t="s">
        <v>98</v>
      </c>
      <c r="W146" s="386" t="s">
        <v>1108</v>
      </c>
      <c r="X146" s="441"/>
      <c r="Y146" s="441"/>
      <c r="Z146" s="441">
        <v>0.5</v>
      </c>
      <c r="AA146" s="522">
        <v>0.5</v>
      </c>
      <c r="AB146" s="525">
        <v>6.25</v>
      </c>
      <c r="AC146" s="413">
        <v>1.3333333333333333</v>
      </c>
      <c r="AD146" s="413">
        <v>0.35277775</v>
      </c>
      <c r="AE146" s="413">
        <v>0.36666666666666664</v>
      </c>
      <c r="AF146" s="692">
        <f t="shared" si="91"/>
        <v>0</v>
      </c>
      <c r="AG146" s="693" t="s">
        <v>146</v>
      </c>
      <c r="AH146" s="711">
        <v>0</v>
      </c>
      <c r="AI146" s="712" t="s">
        <v>1109</v>
      </c>
      <c r="AJ146" s="712" t="s">
        <v>1110</v>
      </c>
      <c r="AK146" s="693" t="str">
        <f>+IF(AND(AH146&gt;=0%,AH146&lt;=60%),"BAJO",IF(AND(AH146&gt;=61%,AH146&lt;=80%),"MEDIO","ALTO"))</f>
        <v>BAJO</v>
      </c>
      <c r="AL146" s="692">
        <f t="shared" si="77"/>
        <v>0</v>
      </c>
      <c r="AM146" s="697" t="s">
        <v>1111</v>
      </c>
      <c r="AN146" s="693">
        <f t="shared" si="78"/>
        <v>0</v>
      </c>
      <c r="AO146" s="693">
        <f t="shared" si="79"/>
        <v>0</v>
      </c>
      <c r="AP146" s="693">
        <f t="shared" si="80"/>
        <v>0</v>
      </c>
      <c r="AQ146" s="693"/>
      <c r="AR146" s="401">
        <f t="shared" si="92"/>
        <v>0</v>
      </c>
      <c r="AS146" s="402" t="s">
        <v>146</v>
      </c>
      <c r="AT146" s="412">
        <v>0</v>
      </c>
      <c r="AU146" s="631" t="s">
        <v>1109</v>
      </c>
      <c r="AV146" s="631" t="s">
        <v>1110</v>
      </c>
      <c r="AW146" s="729"/>
      <c r="AX146" s="397">
        <f t="shared" si="82"/>
        <v>0</v>
      </c>
      <c r="AY146" s="400" t="s">
        <v>1112</v>
      </c>
      <c r="AZ146" s="398">
        <f t="shared" si="83"/>
        <v>0</v>
      </c>
      <c r="BA146" s="398">
        <f t="shared" si="84"/>
        <v>0</v>
      </c>
      <c r="BB146" s="398">
        <f t="shared" si="85"/>
        <v>0</v>
      </c>
      <c r="BC146" s="15"/>
      <c r="BD146" s="14">
        <f t="shared" si="86"/>
        <v>0.5</v>
      </c>
      <c r="BE146" s="773" t="s">
        <v>100</v>
      </c>
      <c r="BF146" s="774">
        <v>0</v>
      </c>
      <c r="BG146" s="680" t="s">
        <v>1113</v>
      </c>
      <c r="BH146" s="680"/>
      <c r="BI146" s="658" t="str">
        <f t="shared" si="93"/>
        <v>BAJO</v>
      </c>
      <c r="BJ146" s="681">
        <f t="shared" si="87"/>
        <v>0</v>
      </c>
      <c r="BK146" s="647" t="s">
        <v>1114</v>
      </c>
      <c r="BL146" s="682">
        <f t="shared" si="94"/>
        <v>0</v>
      </c>
      <c r="BM146" s="682">
        <f t="shared" si="95"/>
        <v>0</v>
      </c>
      <c r="BN146" s="682">
        <f t="shared" si="96"/>
        <v>0</v>
      </c>
      <c r="BO146" s="658"/>
      <c r="BP146" s="860">
        <v>0.5</v>
      </c>
      <c r="BQ146" s="854" t="s">
        <v>105</v>
      </c>
      <c r="BR146" s="891">
        <v>0</v>
      </c>
      <c r="BS146" s="890" t="s">
        <v>1109</v>
      </c>
      <c r="BT146" s="890" t="s">
        <v>1110</v>
      </c>
      <c r="BU146" s="907" t="str">
        <f t="shared" si="88"/>
        <v>BAJO</v>
      </c>
      <c r="BV146" s="875">
        <f t="shared" si="104"/>
        <v>0</v>
      </c>
      <c r="BW146" s="859" t="s">
        <v>1115</v>
      </c>
      <c r="BX146" s="857">
        <f t="shared" si="97"/>
        <v>0</v>
      </c>
      <c r="BY146" s="857">
        <f t="shared" si="98"/>
        <v>0</v>
      </c>
      <c r="BZ146" s="857">
        <f t="shared" si="99"/>
        <v>0</v>
      </c>
      <c r="CA146" s="857">
        <f t="shared" si="100"/>
        <v>0</v>
      </c>
      <c r="CB146" s="16">
        <f t="shared" si="101"/>
        <v>1</v>
      </c>
      <c r="CC146" s="16">
        <f t="shared" si="102"/>
        <v>0</v>
      </c>
      <c r="CD146" s="16">
        <f t="shared" si="105"/>
        <v>1</v>
      </c>
      <c r="CE146" s="16">
        <f t="shared" si="106"/>
        <v>0</v>
      </c>
      <c r="CF146" s="16" t="e">
        <f>SUM(#REF!/(CC146+CB146))</f>
        <v>#REF!</v>
      </c>
      <c r="CG146" s="17"/>
      <c r="CH146" s="17"/>
      <c r="CI146" s="17"/>
      <c r="CJ146" s="17"/>
      <c r="CV146" s="346">
        <f t="shared" si="103"/>
        <v>1</v>
      </c>
    </row>
    <row r="147" spans="1:100" s="1" customFormat="1" ht="65.099999999999994" customHeight="1" x14ac:dyDescent="0.25">
      <c r="A147" s="354" t="s">
        <v>79</v>
      </c>
      <c r="B147" s="354" t="s">
        <v>80</v>
      </c>
      <c r="C147" s="354" t="s">
        <v>81</v>
      </c>
      <c r="D147" s="354" t="s">
        <v>82</v>
      </c>
      <c r="E147" s="354" t="s">
        <v>83</v>
      </c>
      <c r="F147" s="354" t="s">
        <v>84</v>
      </c>
      <c r="G147" s="354" t="s">
        <v>85</v>
      </c>
      <c r="H147" s="354" t="s">
        <v>640</v>
      </c>
      <c r="I147" s="358" t="s">
        <v>681</v>
      </c>
      <c r="J147" s="354" t="s">
        <v>1081</v>
      </c>
      <c r="K147" s="348" t="s">
        <v>1082</v>
      </c>
      <c r="L147" s="348" t="s">
        <v>652</v>
      </c>
      <c r="M147" s="687" t="s">
        <v>1116</v>
      </c>
      <c r="N147" s="361" t="s">
        <v>444</v>
      </c>
      <c r="O147" s="361" t="s">
        <v>445</v>
      </c>
      <c r="P147" s="924">
        <v>504094444.44444442</v>
      </c>
      <c r="Q147" s="364" t="s">
        <v>654</v>
      </c>
      <c r="R147" s="364" t="s">
        <v>213</v>
      </c>
      <c r="S147" s="391">
        <v>15</v>
      </c>
      <c r="T147" s="383" t="s">
        <v>1117</v>
      </c>
      <c r="U147" s="390" t="s">
        <v>1118</v>
      </c>
      <c r="V147" s="383" t="s">
        <v>119</v>
      </c>
      <c r="W147" s="386" t="s">
        <v>1108</v>
      </c>
      <c r="X147" s="441">
        <v>0</v>
      </c>
      <c r="Y147" s="441">
        <v>0</v>
      </c>
      <c r="Z147" s="441">
        <v>0.5</v>
      </c>
      <c r="AA147" s="522">
        <v>0.5</v>
      </c>
      <c r="AB147" s="525">
        <v>6.25</v>
      </c>
      <c r="AC147" s="413">
        <v>1.3333333333333333</v>
      </c>
      <c r="AD147" s="413">
        <v>0.35277775</v>
      </c>
      <c r="AE147" s="413">
        <v>0.36666666666666664</v>
      </c>
      <c r="AF147" s="692">
        <f t="shared" si="91"/>
        <v>0</v>
      </c>
      <c r="AG147" s="693" t="s">
        <v>146</v>
      </c>
      <c r="AH147" s="711">
        <v>0</v>
      </c>
      <c r="AI147" s="712"/>
      <c r="AJ147" s="712"/>
      <c r="AK147" s="693"/>
      <c r="AL147" s="692">
        <f t="shared" si="77"/>
        <v>0</v>
      </c>
      <c r="AM147" s="697" t="s">
        <v>121</v>
      </c>
      <c r="AN147" s="693">
        <f t="shared" si="78"/>
        <v>0</v>
      </c>
      <c r="AO147" s="693">
        <f t="shared" si="79"/>
        <v>0</v>
      </c>
      <c r="AP147" s="693">
        <f t="shared" si="80"/>
        <v>0</v>
      </c>
      <c r="AQ147" s="693"/>
      <c r="AR147" s="401">
        <f t="shared" si="92"/>
        <v>0</v>
      </c>
      <c r="AS147" s="402" t="s">
        <v>146</v>
      </c>
      <c r="AT147" s="410">
        <v>0</v>
      </c>
      <c r="AU147" s="631" t="s">
        <v>1119</v>
      </c>
      <c r="AV147" s="631" t="s">
        <v>1120</v>
      </c>
      <c r="AW147" s="729"/>
      <c r="AX147" s="397">
        <f t="shared" si="82"/>
        <v>0</v>
      </c>
      <c r="AY147" s="400" t="s">
        <v>1121</v>
      </c>
      <c r="AZ147" s="398">
        <f t="shared" si="83"/>
        <v>0</v>
      </c>
      <c r="BA147" s="398">
        <f t="shared" si="84"/>
        <v>0</v>
      </c>
      <c r="BB147" s="398">
        <f t="shared" si="85"/>
        <v>0</v>
      </c>
      <c r="BC147" s="15"/>
      <c r="BD147" s="14">
        <f t="shared" si="86"/>
        <v>0.5</v>
      </c>
      <c r="BE147" s="773" t="s">
        <v>100</v>
      </c>
      <c r="BF147" s="774">
        <v>0</v>
      </c>
      <c r="BG147" s="680" t="s">
        <v>1122</v>
      </c>
      <c r="BH147" s="680"/>
      <c r="BI147" s="658" t="str">
        <f t="shared" si="93"/>
        <v>BAJO</v>
      </c>
      <c r="BJ147" s="681">
        <f t="shared" si="87"/>
        <v>0</v>
      </c>
      <c r="BK147" s="647" t="s">
        <v>1114</v>
      </c>
      <c r="BL147" s="682">
        <f t="shared" si="94"/>
        <v>0</v>
      </c>
      <c r="BM147" s="682">
        <f t="shared" si="95"/>
        <v>0</v>
      </c>
      <c r="BN147" s="682">
        <f t="shared" si="96"/>
        <v>0</v>
      </c>
      <c r="BO147" s="658"/>
      <c r="BP147" s="860">
        <v>0.5</v>
      </c>
      <c r="BQ147" s="854" t="s">
        <v>105</v>
      </c>
      <c r="BR147" s="891">
        <v>0</v>
      </c>
      <c r="BS147" s="890" t="s">
        <v>1119</v>
      </c>
      <c r="BT147" s="890" t="s">
        <v>1120</v>
      </c>
      <c r="BU147" s="907" t="str">
        <f t="shared" si="88"/>
        <v>BAJO</v>
      </c>
      <c r="BV147" s="875">
        <f t="shared" si="104"/>
        <v>0</v>
      </c>
      <c r="BW147" s="859" t="s">
        <v>1123</v>
      </c>
      <c r="BX147" s="857">
        <f t="shared" si="97"/>
        <v>0</v>
      </c>
      <c r="BY147" s="857">
        <f t="shared" si="98"/>
        <v>0</v>
      </c>
      <c r="BZ147" s="857">
        <f t="shared" si="99"/>
        <v>0</v>
      </c>
      <c r="CA147" s="857">
        <f t="shared" si="100"/>
        <v>0</v>
      </c>
      <c r="CB147" s="16">
        <f t="shared" si="101"/>
        <v>1</v>
      </c>
      <c r="CC147" s="16">
        <f t="shared" si="102"/>
        <v>0</v>
      </c>
      <c r="CD147" s="16">
        <f t="shared" si="105"/>
        <v>1</v>
      </c>
      <c r="CE147" s="16">
        <f t="shared" si="106"/>
        <v>0</v>
      </c>
      <c r="CF147" s="16" t="e">
        <f>SUM(#REF!/(CC147+CB147))</f>
        <v>#REF!</v>
      </c>
      <c r="CG147" s="17"/>
      <c r="CH147" s="17"/>
      <c r="CI147" s="17"/>
      <c r="CJ147" s="17"/>
      <c r="CV147" s="346">
        <f t="shared" si="103"/>
        <v>1</v>
      </c>
    </row>
    <row r="148" spans="1:100" s="3" customFormat="1" ht="65.099999999999994" customHeight="1" x14ac:dyDescent="0.25">
      <c r="A148" s="354" t="s">
        <v>79</v>
      </c>
      <c r="B148" s="354" t="s">
        <v>80</v>
      </c>
      <c r="C148" s="354" t="s">
        <v>81</v>
      </c>
      <c r="D148" s="354" t="s">
        <v>82</v>
      </c>
      <c r="E148" s="354" t="s">
        <v>83</v>
      </c>
      <c r="F148" s="354" t="s">
        <v>84</v>
      </c>
      <c r="G148" s="354" t="s">
        <v>85</v>
      </c>
      <c r="H148" s="354" t="s">
        <v>640</v>
      </c>
      <c r="I148" s="358" t="s">
        <v>681</v>
      </c>
      <c r="J148" s="354" t="s">
        <v>1081</v>
      </c>
      <c r="K148" s="348" t="s">
        <v>1082</v>
      </c>
      <c r="L148" s="348" t="s">
        <v>652</v>
      </c>
      <c r="M148" s="687" t="s">
        <v>1124</v>
      </c>
      <c r="N148" s="361" t="s">
        <v>444</v>
      </c>
      <c r="O148" s="361" t="s">
        <v>445</v>
      </c>
      <c r="P148" s="924">
        <v>504094444.44444442</v>
      </c>
      <c r="Q148" s="364" t="s">
        <v>654</v>
      </c>
      <c r="R148" s="364" t="s">
        <v>213</v>
      </c>
      <c r="S148" s="386">
        <v>1</v>
      </c>
      <c r="T148" s="383" t="s">
        <v>1125</v>
      </c>
      <c r="U148" s="383" t="s">
        <v>1126</v>
      </c>
      <c r="V148" s="383" t="s">
        <v>98</v>
      </c>
      <c r="W148" s="386" t="s">
        <v>1127</v>
      </c>
      <c r="X148" s="441">
        <v>0.25</v>
      </c>
      <c r="Y148" s="441">
        <v>0.25</v>
      </c>
      <c r="Z148" s="441">
        <v>0.25</v>
      </c>
      <c r="AA148" s="522">
        <v>0.25</v>
      </c>
      <c r="AB148" s="525">
        <v>6.25</v>
      </c>
      <c r="AC148" s="413">
        <v>1.3333333333333333</v>
      </c>
      <c r="AD148" s="413">
        <v>0.35277775</v>
      </c>
      <c r="AE148" s="413">
        <v>0.36666666666666664</v>
      </c>
      <c r="AF148" s="692">
        <f t="shared" si="91"/>
        <v>0.25</v>
      </c>
      <c r="AG148" s="693" t="s">
        <v>100</v>
      </c>
      <c r="AH148" s="711">
        <f>6/6</f>
        <v>1</v>
      </c>
      <c r="AI148" s="712" t="s">
        <v>1128</v>
      </c>
      <c r="AJ148" s="713"/>
      <c r="AK148" s="693" t="str">
        <f>+IF(AND(AH148&gt;=0%,AH148&lt;=60%),"BAJO",IF(AND(AH148&gt;=61%,AH148&lt;=80%),"MEDIO","ALTO"))</f>
        <v>ALTO</v>
      </c>
      <c r="AL148" s="692">
        <f t="shared" si="77"/>
        <v>0.25</v>
      </c>
      <c r="AM148" s="697" t="s">
        <v>714</v>
      </c>
      <c r="AN148" s="693">
        <f t="shared" si="78"/>
        <v>1.5625</v>
      </c>
      <c r="AO148" s="693">
        <f t="shared" si="79"/>
        <v>0.33333333333333331</v>
      </c>
      <c r="AP148" s="693">
        <f t="shared" si="80"/>
        <v>8.81944375E-2</v>
      </c>
      <c r="AQ148" s="696"/>
      <c r="AR148" s="401">
        <f t="shared" si="92"/>
        <v>0.25</v>
      </c>
      <c r="AS148" s="402" t="s">
        <v>100</v>
      </c>
      <c r="AT148" s="412">
        <f>40/40</f>
        <v>1</v>
      </c>
      <c r="AU148" s="631" t="s">
        <v>1129</v>
      </c>
      <c r="AV148" s="631" t="s">
        <v>1090</v>
      </c>
      <c r="AW148" s="729" t="str">
        <f t="shared" si="81"/>
        <v>ALTO</v>
      </c>
      <c r="AX148" s="397">
        <f t="shared" si="82"/>
        <v>0.25</v>
      </c>
      <c r="AY148" s="400" t="s">
        <v>246</v>
      </c>
      <c r="AZ148" s="398">
        <f t="shared" si="83"/>
        <v>1.5625</v>
      </c>
      <c r="BA148" s="398">
        <f t="shared" si="84"/>
        <v>0.33333333333333331</v>
      </c>
      <c r="BB148" s="398">
        <f t="shared" si="85"/>
        <v>8.81944375E-2</v>
      </c>
      <c r="BC148" s="18"/>
      <c r="BD148" s="14">
        <f t="shared" si="86"/>
        <v>0.25</v>
      </c>
      <c r="BE148" s="773" t="s">
        <v>100</v>
      </c>
      <c r="BF148" s="774">
        <f>59/59</f>
        <v>1</v>
      </c>
      <c r="BG148" s="680" t="s">
        <v>1130</v>
      </c>
      <c r="BH148" s="680" t="s">
        <v>1131</v>
      </c>
      <c r="BI148" s="658" t="str">
        <f t="shared" si="93"/>
        <v>ALTO</v>
      </c>
      <c r="BJ148" s="681">
        <f t="shared" si="87"/>
        <v>0.25</v>
      </c>
      <c r="BK148" s="680" t="s">
        <v>1132</v>
      </c>
      <c r="BL148" s="682">
        <f t="shared" si="94"/>
        <v>0.04</v>
      </c>
      <c r="BM148" s="682">
        <f t="shared" si="95"/>
        <v>0.1875</v>
      </c>
      <c r="BN148" s="682">
        <f t="shared" si="96"/>
        <v>0.70866147312295069</v>
      </c>
      <c r="BO148" s="754"/>
      <c r="BP148" s="860">
        <v>0.25</v>
      </c>
      <c r="BQ148" s="854" t="s">
        <v>105</v>
      </c>
      <c r="BR148" s="891">
        <f>100/100</f>
        <v>1</v>
      </c>
      <c r="BS148" s="890" t="s">
        <v>1133</v>
      </c>
      <c r="BT148" s="890" t="s">
        <v>1090</v>
      </c>
      <c r="BU148" s="905" t="str">
        <f t="shared" si="88"/>
        <v>ALTO</v>
      </c>
      <c r="BV148" s="875">
        <f t="shared" si="104"/>
        <v>0.25</v>
      </c>
      <c r="BW148" s="859" t="s">
        <v>1134</v>
      </c>
      <c r="BX148" s="857">
        <f t="shared" si="97"/>
        <v>1.5625</v>
      </c>
      <c r="BY148" s="857">
        <f t="shared" si="98"/>
        <v>0.33333333333333331</v>
      </c>
      <c r="BZ148" s="857">
        <f t="shared" si="99"/>
        <v>8.81944375E-2</v>
      </c>
      <c r="CA148" s="857">
        <f t="shared" si="100"/>
        <v>9.166666666666666E-2</v>
      </c>
      <c r="CB148" s="16">
        <f t="shared" si="101"/>
        <v>0.5</v>
      </c>
      <c r="CC148" s="16">
        <f t="shared" si="102"/>
        <v>0.5</v>
      </c>
      <c r="CD148" s="16">
        <f t="shared" si="105"/>
        <v>1</v>
      </c>
      <c r="CE148" s="16">
        <f t="shared" si="106"/>
        <v>1</v>
      </c>
      <c r="CF148" s="16" t="e">
        <f>SUM(#REF!/(CC148+CB148))</f>
        <v>#REF!</v>
      </c>
      <c r="CG148" s="19"/>
      <c r="CH148" s="19"/>
      <c r="CI148" s="19"/>
      <c r="CJ148" s="19"/>
      <c r="CV148" s="346">
        <f t="shared" si="103"/>
        <v>1</v>
      </c>
    </row>
    <row r="149" spans="1:100" s="1" customFormat="1" ht="65.099999999999994" customHeight="1" x14ac:dyDescent="0.25">
      <c r="A149" s="354" t="s">
        <v>79</v>
      </c>
      <c r="B149" s="354" t="s">
        <v>80</v>
      </c>
      <c r="C149" s="354" t="s">
        <v>81</v>
      </c>
      <c r="D149" s="354" t="s">
        <v>82</v>
      </c>
      <c r="E149" s="354" t="s">
        <v>83</v>
      </c>
      <c r="F149" s="354" t="s">
        <v>84</v>
      </c>
      <c r="G149" s="354" t="s">
        <v>85</v>
      </c>
      <c r="H149" s="354" t="s">
        <v>640</v>
      </c>
      <c r="I149" s="358" t="s">
        <v>681</v>
      </c>
      <c r="J149" s="354" t="s">
        <v>1081</v>
      </c>
      <c r="K149" s="348" t="s">
        <v>1082</v>
      </c>
      <c r="L149" s="348" t="s">
        <v>652</v>
      </c>
      <c r="M149" s="687" t="s">
        <v>1135</v>
      </c>
      <c r="N149" s="361" t="s">
        <v>444</v>
      </c>
      <c r="O149" s="361" t="s">
        <v>445</v>
      </c>
      <c r="P149" s="924">
        <v>504094444.44444442</v>
      </c>
      <c r="Q149" s="364" t="s">
        <v>654</v>
      </c>
      <c r="R149" s="364" t="s">
        <v>213</v>
      </c>
      <c r="S149" s="386">
        <v>1</v>
      </c>
      <c r="T149" s="383" t="s">
        <v>1136</v>
      </c>
      <c r="U149" s="383" t="s">
        <v>1126</v>
      </c>
      <c r="V149" s="383" t="s">
        <v>98</v>
      </c>
      <c r="W149" s="386" t="s">
        <v>1137</v>
      </c>
      <c r="X149" s="441">
        <v>0.25</v>
      </c>
      <c r="Y149" s="441">
        <v>0.25</v>
      </c>
      <c r="Z149" s="441">
        <v>0.25</v>
      </c>
      <c r="AA149" s="522">
        <v>0.25</v>
      </c>
      <c r="AB149" s="525">
        <v>6.25</v>
      </c>
      <c r="AC149" s="413">
        <v>1.3333333333333333</v>
      </c>
      <c r="AD149" s="413">
        <v>0.35277775</v>
      </c>
      <c r="AE149" s="413">
        <v>0.36666666666666664</v>
      </c>
      <c r="AF149" s="692">
        <f t="shared" si="91"/>
        <v>0.25</v>
      </c>
      <c r="AG149" s="693" t="s">
        <v>100</v>
      </c>
      <c r="AH149" s="711">
        <f>125/125</f>
        <v>1</v>
      </c>
      <c r="AI149" s="712" t="s">
        <v>1138</v>
      </c>
      <c r="AJ149" s="712"/>
      <c r="AK149" s="693" t="str">
        <f>+IF(AND(AH149&gt;=0%,AH149&lt;=60%),"BAJO",IF(AND(AH149&gt;=61%,AH149&lt;=80%),"MEDIO","ALTO"))</f>
        <v>ALTO</v>
      </c>
      <c r="AL149" s="692">
        <f t="shared" si="77"/>
        <v>0.25</v>
      </c>
      <c r="AM149" s="697" t="s">
        <v>714</v>
      </c>
      <c r="AN149" s="693">
        <f t="shared" si="78"/>
        <v>1.5625</v>
      </c>
      <c r="AO149" s="693">
        <f t="shared" si="79"/>
        <v>0.33333333333333331</v>
      </c>
      <c r="AP149" s="693">
        <f t="shared" si="80"/>
        <v>8.81944375E-2</v>
      </c>
      <c r="AQ149" s="693"/>
      <c r="AR149" s="401">
        <f t="shared" si="92"/>
        <v>0.25</v>
      </c>
      <c r="AS149" s="402" t="s">
        <v>100</v>
      </c>
      <c r="AT149" s="408">
        <f>133/133</f>
        <v>1</v>
      </c>
      <c r="AU149" s="631" t="s">
        <v>1139</v>
      </c>
      <c r="AV149" s="631" t="s">
        <v>1090</v>
      </c>
      <c r="AW149" s="729" t="str">
        <f t="shared" si="81"/>
        <v>ALTO</v>
      </c>
      <c r="AX149" s="397">
        <f t="shared" si="82"/>
        <v>0.25</v>
      </c>
      <c r="AY149" s="400" t="s">
        <v>714</v>
      </c>
      <c r="AZ149" s="398">
        <f t="shared" si="83"/>
        <v>1.5625</v>
      </c>
      <c r="BA149" s="398">
        <f t="shared" si="84"/>
        <v>0.33333333333333331</v>
      </c>
      <c r="BB149" s="398">
        <f t="shared" si="85"/>
        <v>8.81944375E-2</v>
      </c>
      <c r="BC149" s="15"/>
      <c r="BD149" s="14">
        <f t="shared" si="86"/>
        <v>0.25</v>
      </c>
      <c r="BE149" s="773" t="s">
        <v>100</v>
      </c>
      <c r="BF149" s="774">
        <f>129/129</f>
        <v>1</v>
      </c>
      <c r="BG149" s="680" t="s">
        <v>1140</v>
      </c>
      <c r="BH149" s="680" t="s">
        <v>1141</v>
      </c>
      <c r="BI149" s="658" t="str">
        <f t="shared" si="93"/>
        <v>ALTO</v>
      </c>
      <c r="BJ149" s="681">
        <f t="shared" si="87"/>
        <v>0.25</v>
      </c>
      <c r="BK149" s="647" t="s">
        <v>1142</v>
      </c>
      <c r="BL149" s="682">
        <f t="shared" si="94"/>
        <v>0.04</v>
      </c>
      <c r="BM149" s="682">
        <f t="shared" si="95"/>
        <v>0.1875</v>
      </c>
      <c r="BN149" s="682">
        <f t="shared" si="96"/>
        <v>0.70866147312295069</v>
      </c>
      <c r="BO149" s="658"/>
      <c r="BP149" s="860">
        <v>0.25</v>
      </c>
      <c r="BQ149" s="854" t="s">
        <v>105</v>
      </c>
      <c r="BR149" s="891">
        <v>1</v>
      </c>
      <c r="BS149" s="890" t="s">
        <v>1143</v>
      </c>
      <c r="BT149" s="890" t="s">
        <v>1090</v>
      </c>
      <c r="BU149" s="905" t="str">
        <f t="shared" si="88"/>
        <v>ALTO</v>
      </c>
      <c r="BV149" s="875">
        <f t="shared" si="104"/>
        <v>0.25</v>
      </c>
      <c r="BW149" s="859" t="s">
        <v>1134</v>
      </c>
      <c r="BX149" s="857">
        <f t="shared" si="97"/>
        <v>1.5625</v>
      </c>
      <c r="BY149" s="857">
        <f t="shared" si="98"/>
        <v>0.33333333333333331</v>
      </c>
      <c r="BZ149" s="857">
        <f t="shared" si="99"/>
        <v>8.81944375E-2</v>
      </c>
      <c r="CA149" s="857">
        <f t="shared" si="100"/>
        <v>9.166666666666666E-2</v>
      </c>
      <c r="CB149" s="16">
        <f t="shared" si="101"/>
        <v>0.5</v>
      </c>
      <c r="CC149" s="16">
        <f t="shared" si="102"/>
        <v>0.5</v>
      </c>
      <c r="CD149" s="16">
        <f t="shared" si="105"/>
        <v>1</v>
      </c>
      <c r="CE149" s="16">
        <f t="shared" si="106"/>
        <v>1</v>
      </c>
      <c r="CF149" s="16" t="e">
        <f>SUM(#REF!/(CC149+CB149))</f>
        <v>#REF!</v>
      </c>
      <c r="CG149" s="17"/>
      <c r="CH149" s="17"/>
      <c r="CI149" s="17"/>
      <c r="CJ149" s="17"/>
      <c r="CV149" s="346">
        <f t="shared" si="103"/>
        <v>1</v>
      </c>
    </row>
    <row r="150" spans="1:100" s="1" customFormat="1" ht="65.099999999999994" customHeight="1" x14ac:dyDescent="0.25">
      <c r="A150" s="354" t="s">
        <v>79</v>
      </c>
      <c r="B150" s="354" t="s">
        <v>80</v>
      </c>
      <c r="C150" s="354" t="s">
        <v>81</v>
      </c>
      <c r="D150" s="354" t="s">
        <v>82</v>
      </c>
      <c r="E150" s="354" t="s">
        <v>83</v>
      </c>
      <c r="F150" s="354" t="s">
        <v>84</v>
      </c>
      <c r="G150" s="354" t="s">
        <v>85</v>
      </c>
      <c r="H150" s="354" t="s">
        <v>640</v>
      </c>
      <c r="I150" s="358" t="s">
        <v>681</v>
      </c>
      <c r="J150" s="354" t="s">
        <v>1081</v>
      </c>
      <c r="K150" s="348" t="s">
        <v>1082</v>
      </c>
      <c r="L150" s="348" t="s">
        <v>652</v>
      </c>
      <c r="M150" s="687" t="s">
        <v>1144</v>
      </c>
      <c r="N150" s="361" t="s">
        <v>444</v>
      </c>
      <c r="O150" s="361" t="s">
        <v>445</v>
      </c>
      <c r="P150" s="924">
        <v>504094444.44444442</v>
      </c>
      <c r="Q150" s="364" t="s">
        <v>654</v>
      </c>
      <c r="R150" s="364" t="s">
        <v>213</v>
      </c>
      <c r="S150" s="386">
        <v>1</v>
      </c>
      <c r="T150" s="383" t="s">
        <v>1145</v>
      </c>
      <c r="U150" s="383" t="s">
        <v>1126</v>
      </c>
      <c r="V150" s="383" t="s">
        <v>98</v>
      </c>
      <c r="W150" s="386" t="s">
        <v>1146</v>
      </c>
      <c r="X150" s="441">
        <v>0.25</v>
      </c>
      <c r="Y150" s="441">
        <v>0.25</v>
      </c>
      <c r="Z150" s="441">
        <v>0.25</v>
      </c>
      <c r="AA150" s="522">
        <v>0.25</v>
      </c>
      <c r="AB150" s="525">
        <v>6.25</v>
      </c>
      <c r="AC150" s="413">
        <v>1.3333333333333333</v>
      </c>
      <c r="AD150" s="413">
        <v>0.35277775</v>
      </c>
      <c r="AE150" s="413">
        <v>0.36666666666666664</v>
      </c>
      <c r="AF150" s="692">
        <f t="shared" si="91"/>
        <v>0.25</v>
      </c>
      <c r="AG150" s="693" t="s">
        <v>100</v>
      </c>
      <c r="AH150" s="711">
        <f>2623/2623</f>
        <v>1</v>
      </c>
      <c r="AI150" s="712" t="s">
        <v>1147</v>
      </c>
      <c r="AJ150" s="712"/>
      <c r="AK150" s="693" t="str">
        <f>+IF(AND(AH150&gt;=0%,AH150&lt;=60%),"BAJO",IF(AND(AH150&gt;=61%,AH150&lt;=80%),"MEDIO","ALTO"))</f>
        <v>ALTO</v>
      </c>
      <c r="AL150" s="692">
        <f t="shared" si="77"/>
        <v>0.25</v>
      </c>
      <c r="AM150" s="697" t="s">
        <v>714</v>
      </c>
      <c r="AN150" s="693">
        <f t="shared" si="78"/>
        <v>1.5625</v>
      </c>
      <c r="AO150" s="693">
        <f t="shared" si="79"/>
        <v>0.33333333333333331</v>
      </c>
      <c r="AP150" s="693">
        <f t="shared" si="80"/>
        <v>8.81944375E-2</v>
      </c>
      <c r="AQ150" s="693"/>
      <c r="AR150" s="401">
        <f t="shared" si="92"/>
        <v>0.25</v>
      </c>
      <c r="AS150" s="402" t="s">
        <v>100</v>
      </c>
      <c r="AT150" s="408">
        <f>2558/2558</f>
        <v>1</v>
      </c>
      <c r="AU150" s="631" t="s">
        <v>1148</v>
      </c>
      <c r="AV150" s="631" t="s">
        <v>1090</v>
      </c>
      <c r="AW150" s="729" t="str">
        <f t="shared" si="81"/>
        <v>ALTO</v>
      </c>
      <c r="AX150" s="397">
        <f t="shared" si="82"/>
        <v>0.25</v>
      </c>
      <c r="AY150" s="400" t="s">
        <v>714</v>
      </c>
      <c r="AZ150" s="398">
        <f t="shared" si="83"/>
        <v>1.5625</v>
      </c>
      <c r="BA150" s="398">
        <f t="shared" si="84"/>
        <v>0.33333333333333331</v>
      </c>
      <c r="BB150" s="398">
        <f t="shared" si="85"/>
        <v>8.81944375E-2</v>
      </c>
      <c r="BC150" s="15"/>
      <c r="BD150" s="14">
        <f t="shared" si="86"/>
        <v>0.25</v>
      </c>
      <c r="BE150" s="773" t="s">
        <v>100</v>
      </c>
      <c r="BF150" s="774">
        <f>92/92</f>
        <v>1</v>
      </c>
      <c r="BG150" s="680" t="s">
        <v>1149</v>
      </c>
      <c r="BH150" s="680" t="s">
        <v>1141</v>
      </c>
      <c r="BI150" s="658" t="str">
        <f t="shared" si="93"/>
        <v>ALTO</v>
      </c>
      <c r="BJ150" s="681">
        <f t="shared" si="87"/>
        <v>0.25</v>
      </c>
      <c r="BK150" s="647" t="s">
        <v>1150</v>
      </c>
      <c r="BL150" s="682">
        <f t="shared" si="94"/>
        <v>0.04</v>
      </c>
      <c r="BM150" s="682">
        <f t="shared" si="95"/>
        <v>0.1875</v>
      </c>
      <c r="BN150" s="682">
        <f t="shared" si="96"/>
        <v>0.70866147312295069</v>
      </c>
      <c r="BO150" s="658"/>
      <c r="BP150" s="860">
        <v>0.25</v>
      </c>
      <c r="BQ150" s="854" t="s">
        <v>105</v>
      </c>
      <c r="BR150" s="891">
        <f>100/100</f>
        <v>1</v>
      </c>
      <c r="BS150" s="890" t="s">
        <v>1151</v>
      </c>
      <c r="BT150" s="890" t="s">
        <v>1090</v>
      </c>
      <c r="BU150" s="905" t="str">
        <f t="shared" si="88"/>
        <v>ALTO</v>
      </c>
      <c r="BV150" s="875">
        <f t="shared" si="104"/>
        <v>0.25</v>
      </c>
      <c r="BW150" s="859" t="s">
        <v>1134</v>
      </c>
      <c r="BX150" s="857">
        <f t="shared" si="97"/>
        <v>1.5625</v>
      </c>
      <c r="BY150" s="857">
        <f t="shared" si="98"/>
        <v>0.33333333333333331</v>
      </c>
      <c r="BZ150" s="857">
        <f t="shared" si="99"/>
        <v>8.81944375E-2</v>
      </c>
      <c r="CA150" s="857">
        <f t="shared" si="100"/>
        <v>9.166666666666666E-2</v>
      </c>
      <c r="CB150" s="16">
        <f t="shared" si="101"/>
        <v>0.5</v>
      </c>
      <c r="CC150" s="16">
        <f t="shared" si="102"/>
        <v>0.5</v>
      </c>
      <c r="CD150" s="16">
        <f t="shared" si="105"/>
        <v>1</v>
      </c>
      <c r="CE150" s="16">
        <f t="shared" si="106"/>
        <v>1</v>
      </c>
      <c r="CF150" s="16" t="e">
        <f>SUM(#REF!/(CC150+CB150))</f>
        <v>#REF!</v>
      </c>
      <c r="CG150" s="17"/>
      <c r="CH150" s="17"/>
      <c r="CI150" s="17"/>
      <c r="CJ150" s="17"/>
      <c r="CV150" s="346">
        <f t="shared" si="103"/>
        <v>1</v>
      </c>
    </row>
    <row r="151" spans="1:100" s="1" customFormat="1" ht="65.099999999999994" customHeight="1" x14ac:dyDescent="0.25">
      <c r="A151" s="354" t="s">
        <v>79</v>
      </c>
      <c r="B151" s="354" t="s">
        <v>80</v>
      </c>
      <c r="C151" s="354" t="s">
        <v>81</v>
      </c>
      <c r="D151" s="354" t="s">
        <v>82</v>
      </c>
      <c r="E151" s="354" t="s">
        <v>83</v>
      </c>
      <c r="F151" s="354" t="s">
        <v>84</v>
      </c>
      <c r="G151" s="354" t="s">
        <v>85</v>
      </c>
      <c r="H151" s="354" t="s">
        <v>640</v>
      </c>
      <c r="I151" s="358" t="s">
        <v>681</v>
      </c>
      <c r="J151" s="354" t="s">
        <v>1081</v>
      </c>
      <c r="K151" s="348" t="s">
        <v>1082</v>
      </c>
      <c r="L151" s="348" t="s">
        <v>652</v>
      </c>
      <c r="M151" s="687" t="s">
        <v>1152</v>
      </c>
      <c r="N151" s="361" t="s">
        <v>444</v>
      </c>
      <c r="O151" s="361" t="s">
        <v>445</v>
      </c>
      <c r="P151" s="924">
        <v>504094444.44444442</v>
      </c>
      <c r="Q151" s="364" t="s">
        <v>654</v>
      </c>
      <c r="R151" s="364" t="s">
        <v>213</v>
      </c>
      <c r="S151" s="391">
        <v>2</v>
      </c>
      <c r="T151" s="383" t="s">
        <v>1153</v>
      </c>
      <c r="U151" s="383" t="s">
        <v>1154</v>
      </c>
      <c r="V151" s="383" t="s">
        <v>119</v>
      </c>
      <c r="W151" s="386" t="s">
        <v>1155</v>
      </c>
      <c r="X151" s="441">
        <v>0</v>
      </c>
      <c r="Y151" s="441">
        <v>0</v>
      </c>
      <c r="Z151" s="441">
        <v>0.5</v>
      </c>
      <c r="AA151" s="522">
        <v>0.5</v>
      </c>
      <c r="AB151" s="525">
        <v>6.25</v>
      </c>
      <c r="AC151" s="413">
        <v>1.3333333333333333</v>
      </c>
      <c r="AD151" s="413">
        <v>0.35277775</v>
      </c>
      <c r="AE151" s="413">
        <v>0.36666666666666664</v>
      </c>
      <c r="AF151" s="692">
        <f t="shared" si="91"/>
        <v>0</v>
      </c>
      <c r="AG151" s="693" t="s">
        <v>146</v>
      </c>
      <c r="AH151" s="711">
        <v>0</v>
      </c>
      <c r="AI151" s="712"/>
      <c r="AJ151" s="712"/>
      <c r="AK151" s="693" t="str">
        <f>+IF(AND(AH151&gt;=0%,AH151&lt;=60%),"BAJO",IF(AND(AH151&gt;=61%,AH151&lt;=80%),"MEDIO","ALTO"))</f>
        <v>BAJO</v>
      </c>
      <c r="AL151" s="692"/>
      <c r="AM151" s="697" t="s">
        <v>121</v>
      </c>
      <c r="AN151" s="693">
        <f t="shared" si="78"/>
        <v>0</v>
      </c>
      <c r="AO151" s="693">
        <f t="shared" si="79"/>
        <v>0</v>
      </c>
      <c r="AP151" s="693">
        <f t="shared" si="80"/>
        <v>0</v>
      </c>
      <c r="AQ151" s="693"/>
      <c r="AR151" s="401">
        <f t="shared" si="92"/>
        <v>0</v>
      </c>
      <c r="AS151" s="402" t="s">
        <v>146</v>
      </c>
      <c r="AT151" s="408">
        <v>0</v>
      </c>
      <c r="AU151" s="631"/>
      <c r="AV151" s="631"/>
      <c r="AW151" s="729"/>
      <c r="AX151" s="397">
        <f t="shared" si="82"/>
        <v>0</v>
      </c>
      <c r="AY151" s="400" t="s">
        <v>121</v>
      </c>
      <c r="AZ151" s="398">
        <f t="shared" si="83"/>
        <v>0</v>
      </c>
      <c r="BA151" s="398">
        <f t="shared" si="84"/>
        <v>0</v>
      </c>
      <c r="BB151" s="398">
        <f t="shared" si="85"/>
        <v>0</v>
      </c>
      <c r="BC151" s="15"/>
      <c r="BD151" s="14">
        <f t="shared" si="86"/>
        <v>0.5</v>
      </c>
      <c r="BE151" s="773" t="s">
        <v>100</v>
      </c>
      <c r="BF151" s="774">
        <v>0</v>
      </c>
      <c r="BG151" s="680" t="s">
        <v>1156</v>
      </c>
      <c r="BH151" s="680"/>
      <c r="BI151" s="658" t="str">
        <f t="shared" si="93"/>
        <v>BAJO</v>
      </c>
      <c r="BJ151" s="681">
        <f t="shared" si="87"/>
        <v>0</v>
      </c>
      <c r="BK151" s="658" t="s">
        <v>1157</v>
      </c>
      <c r="BL151" s="682">
        <f t="shared" si="94"/>
        <v>0</v>
      </c>
      <c r="BM151" s="682">
        <f t="shared" si="95"/>
        <v>0</v>
      </c>
      <c r="BN151" s="682">
        <f t="shared" si="96"/>
        <v>0</v>
      </c>
      <c r="BO151" s="658"/>
      <c r="BP151" s="860">
        <v>0.5</v>
      </c>
      <c r="BQ151" s="854" t="s">
        <v>105</v>
      </c>
      <c r="BR151" s="891">
        <v>0</v>
      </c>
      <c r="BS151" s="890" t="s">
        <v>1158</v>
      </c>
      <c r="BT151" s="890" t="s">
        <v>1159</v>
      </c>
      <c r="BU151" s="907" t="str">
        <f t="shared" si="88"/>
        <v>BAJO</v>
      </c>
      <c r="BV151" s="875">
        <f t="shared" si="104"/>
        <v>0</v>
      </c>
      <c r="BW151" s="859" t="s">
        <v>1160</v>
      </c>
      <c r="BX151" s="857">
        <f t="shared" si="97"/>
        <v>0</v>
      </c>
      <c r="BY151" s="857">
        <f t="shared" si="98"/>
        <v>0</v>
      </c>
      <c r="BZ151" s="857">
        <f t="shared" si="99"/>
        <v>0</v>
      </c>
      <c r="CA151" s="857">
        <f t="shared" si="100"/>
        <v>0</v>
      </c>
      <c r="CB151" s="16">
        <f t="shared" si="101"/>
        <v>1</v>
      </c>
      <c r="CC151" s="16">
        <f t="shared" si="102"/>
        <v>0</v>
      </c>
      <c r="CD151" s="16">
        <f t="shared" si="105"/>
        <v>1</v>
      </c>
      <c r="CE151" s="16">
        <f t="shared" si="106"/>
        <v>0</v>
      </c>
      <c r="CF151" s="16" t="e">
        <f>SUM(#REF!/(CC151+CB151))</f>
        <v>#REF!</v>
      </c>
      <c r="CG151" s="17"/>
      <c r="CH151" s="17"/>
      <c r="CI151" s="17"/>
      <c r="CJ151" s="17"/>
      <c r="CV151" s="346">
        <f t="shared" si="103"/>
        <v>1</v>
      </c>
    </row>
    <row r="152" spans="1:100" s="1" customFormat="1" ht="65.099999999999994" customHeight="1" x14ac:dyDescent="0.25">
      <c r="A152" s="354" t="s">
        <v>79</v>
      </c>
      <c r="B152" s="354" t="s">
        <v>80</v>
      </c>
      <c r="C152" s="354" t="s">
        <v>81</v>
      </c>
      <c r="D152" s="354" t="s">
        <v>82</v>
      </c>
      <c r="E152" s="354" t="s">
        <v>83</v>
      </c>
      <c r="F152" s="354" t="s">
        <v>84</v>
      </c>
      <c r="G152" s="354" t="s">
        <v>85</v>
      </c>
      <c r="H152" s="354" t="s">
        <v>640</v>
      </c>
      <c r="I152" s="354" t="s">
        <v>681</v>
      </c>
      <c r="J152" s="354" t="s">
        <v>1081</v>
      </c>
      <c r="K152" s="348" t="s">
        <v>1082</v>
      </c>
      <c r="L152" s="348" t="s">
        <v>652</v>
      </c>
      <c r="M152" s="687" t="s">
        <v>1161</v>
      </c>
      <c r="N152" s="361" t="s">
        <v>444</v>
      </c>
      <c r="O152" s="361" t="s">
        <v>445</v>
      </c>
      <c r="P152" s="924">
        <v>504094444.44444442</v>
      </c>
      <c r="Q152" s="364" t="s">
        <v>654</v>
      </c>
      <c r="R152" s="364" t="s">
        <v>213</v>
      </c>
      <c r="S152" s="391">
        <v>10</v>
      </c>
      <c r="T152" s="383" t="s">
        <v>1162</v>
      </c>
      <c r="U152" s="383" t="s">
        <v>1163</v>
      </c>
      <c r="V152" s="383" t="s">
        <v>119</v>
      </c>
      <c r="W152" s="386" t="s">
        <v>1164</v>
      </c>
      <c r="X152" s="441">
        <v>0</v>
      </c>
      <c r="Y152" s="441">
        <v>0.33</v>
      </c>
      <c r="Z152" s="441">
        <v>0.33</v>
      </c>
      <c r="AA152" s="522">
        <v>0.34</v>
      </c>
      <c r="AB152" s="525">
        <v>6.25</v>
      </c>
      <c r="AC152" s="413">
        <v>1.3333333333333333</v>
      </c>
      <c r="AD152" s="413">
        <v>0.35277775</v>
      </c>
      <c r="AE152" s="413">
        <v>0.36666666666666664</v>
      </c>
      <c r="AF152" s="692">
        <f t="shared" si="91"/>
        <v>0</v>
      </c>
      <c r="AG152" s="693" t="s">
        <v>146</v>
      </c>
      <c r="AH152" s="711">
        <v>0</v>
      </c>
      <c r="AI152" s="712"/>
      <c r="AJ152" s="712"/>
      <c r="AK152" s="693"/>
      <c r="AL152" s="692">
        <f t="shared" si="77"/>
        <v>0</v>
      </c>
      <c r="AM152" s="697" t="s">
        <v>121</v>
      </c>
      <c r="AN152" s="693">
        <f t="shared" si="78"/>
        <v>0</v>
      </c>
      <c r="AO152" s="693">
        <f t="shared" si="79"/>
        <v>0</v>
      </c>
      <c r="AP152" s="693">
        <f t="shared" si="80"/>
        <v>0</v>
      </c>
      <c r="AQ152" s="693"/>
      <c r="AR152" s="401">
        <f t="shared" si="92"/>
        <v>0.33</v>
      </c>
      <c r="AS152" s="402" t="s">
        <v>100</v>
      </c>
      <c r="AT152" s="408">
        <v>0</v>
      </c>
      <c r="AU152" s="631" t="s">
        <v>1165</v>
      </c>
      <c r="AV152" s="631" t="s">
        <v>1166</v>
      </c>
      <c r="AW152" s="729" t="str">
        <f t="shared" si="81"/>
        <v>BAJO</v>
      </c>
      <c r="AX152" s="397">
        <f t="shared" si="82"/>
        <v>0</v>
      </c>
      <c r="AY152" s="400" t="s">
        <v>1167</v>
      </c>
      <c r="AZ152" s="398">
        <f t="shared" si="83"/>
        <v>0</v>
      </c>
      <c r="BA152" s="398">
        <f t="shared" si="84"/>
        <v>0</v>
      </c>
      <c r="BB152" s="398">
        <f t="shared" si="85"/>
        <v>0</v>
      </c>
      <c r="BC152" s="15"/>
      <c r="BD152" s="14">
        <f t="shared" si="86"/>
        <v>0.33</v>
      </c>
      <c r="BE152" s="773" t="s">
        <v>100</v>
      </c>
      <c r="BF152" s="774">
        <f>3/7</f>
        <v>0.42857142857142855</v>
      </c>
      <c r="BG152" s="680" t="s">
        <v>1168</v>
      </c>
      <c r="BH152" s="680" t="s">
        <v>1169</v>
      </c>
      <c r="BI152" s="658" t="str">
        <f t="shared" si="93"/>
        <v>BAJO</v>
      </c>
      <c r="BJ152" s="681">
        <f t="shared" si="87"/>
        <v>0.14142857142857143</v>
      </c>
      <c r="BK152" s="647" t="s">
        <v>1170</v>
      </c>
      <c r="BL152" s="682">
        <f t="shared" si="94"/>
        <v>2.2628571428571428E-2</v>
      </c>
      <c r="BM152" s="682">
        <f t="shared" si="95"/>
        <v>0.10607142857142858</v>
      </c>
      <c r="BN152" s="682">
        <f t="shared" si="96"/>
        <v>0.40089991908098349</v>
      </c>
      <c r="BO152" s="658"/>
      <c r="BP152" s="860">
        <v>0.34</v>
      </c>
      <c r="BQ152" s="854" t="s">
        <v>105</v>
      </c>
      <c r="BR152" s="891">
        <v>1</v>
      </c>
      <c r="BS152" s="892" t="s">
        <v>1171</v>
      </c>
      <c r="BT152" s="890"/>
      <c r="BU152" s="905" t="str">
        <f t="shared" si="88"/>
        <v>ALTO</v>
      </c>
      <c r="BV152" s="875">
        <f t="shared" si="104"/>
        <v>0.34</v>
      </c>
      <c r="BW152" s="859" t="s">
        <v>1134</v>
      </c>
      <c r="BX152" s="857">
        <f t="shared" si="97"/>
        <v>2.125</v>
      </c>
      <c r="BY152" s="857">
        <f t="shared" si="98"/>
        <v>0.45333333333333337</v>
      </c>
      <c r="BZ152" s="857">
        <f t="shared" si="99"/>
        <v>0.11994443500000002</v>
      </c>
      <c r="CA152" s="857">
        <f t="shared" si="100"/>
        <v>0.12466666666666666</v>
      </c>
      <c r="CB152" s="16">
        <f t="shared" si="101"/>
        <v>0.67</v>
      </c>
      <c r="CC152" s="16">
        <f t="shared" si="102"/>
        <v>0.33</v>
      </c>
      <c r="CD152" s="16">
        <f t="shared" si="105"/>
        <v>1</v>
      </c>
      <c r="CE152" s="16">
        <f t="shared" si="106"/>
        <v>0.48142857142857143</v>
      </c>
      <c r="CF152" s="16" t="e">
        <f>SUM(#REF!/(CC152+CB152))</f>
        <v>#REF!</v>
      </c>
      <c r="CG152" s="17"/>
      <c r="CH152" s="17"/>
      <c r="CI152" s="17"/>
      <c r="CJ152" s="17"/>
      <c r="CV152" s="346">
        <f t="shared" si="103"/>
        <v>1</v>
      </c>
    </row>
    <row r="153" spans="1:100" s="1" customFormat="1" ht="65.099999999999994" customHeight="1" x14ac:dyDescent="0.25">
      <c r="A153" s="356" t="s">
        <v>79</v>
      </c>
      <c r="B153" s="356" t="s">
        <v>80</v>
      </c>
      <c r="C153" s="356" t="s">
        <v>81</v>
      </c>
      <c r="D153" s="356" t="s">
        <v>82</v>
      </c>
      <c r="E153" s="356" t="s">
        <v>83</v>
      </c>
      <c r="F153" s="356" t="s">
        <v>84</v>
      </c>
      <c r="G153" s="356" t="s">
        <v>85</v>
      </c>
      <c r="H153" s="356" t="s">
        <v>86</v>
      </c>
      <c r="I153" s="356" t="s">
        <v>87</v>
      </c>
      <c r="J153" s="356" t="s">
        <v>152</v>
      </c>
      <c r="K153" s="357" t="s">
        <v>1082</v>
      </c>
      <c r="L153" s="357" t="s">
        <v>652</v>
      </c>
      <c r="M153" s="357" t="s">
        <v>153</v>
      </c>
      <c r="N153" s="367" t="s">
        <v>91</v>
      </c>
      <c r="O153" s="367" t="s">
        <v>154</v>
      </c>
      <c r="P153" s="930">
        <v>39542136.277533107</v>
      </c>
      <c r="Q153" s="368" t="s">
        <v>654</v>
      </c>
      <c r="R153" s="357" t="s">
        <v>156</v>
      </c>
      <c r="S153" s="357">
        <v>3</v>
      </c>
      <c r="T153" s="369" t="s">
        <v>157</v>
      </c>
      <c r="U153" s="357" t="s">
        <v>158</v>
      </c>
      <c r="V153" s="370" t="s">
        <v>98</v>
      </c>
      <c r="W153" s="357" t="s">
        <v>159</v>
      </c>
      <c r="X153" s="432">
        <v>0</v>
      </c>
      <c r="Y153" s="432">
        <v>0.34</v>
      </c>
      <c r="Z153" s="432">
        <v>0.33</v>
      </c>
      <c r="AA153" s="444">
        <v>0.33</v>
      </c>
      <c r="AB153" s="525">
        <v>6.25</v>
      </c>
      <c r="AC153" s="413">
        <v>1.3333333333333333</v>
      </c>
      <c r="AD153" s="413">
        <v>0.35277775</v>
      </c>
      <c r="AE153" s="413">
        <v>0.37727272727272726</v>
      </c>
      <c r="AF153" s="692">
        <f t="shared" si="91"/>
        <v>0</v>
      </c>
      <c r="AG153" s="693" t="s">
        <v>146</v>
      </c>
      <c r="AH153" s="711">
        <v>0</v>
      </c>
      <c r="AI153" s="712"/>
      <c r="AJ153" s="712"/>
      <c r="AK153" s="693"/>
      <c r="AL153" s="692">
        <f t="shared" si="77"/>
        <v>0</v>
      </c>
      <c r="AM153" s="697" t="s">
        <v>121</v>
      </c>
      <c r="AN153" s="693">
        <f t="shared" si="78"/>
        <v>0</v>
      </c>
      <c r="AO153" s="693">
        <f t="shared" si="79"/>
        <v>0</v>
      </c>
      <c r="AP153" s="693">
        <f t="shared" si="80"/>
        <v>0</v>
      </c>
      <c r="AQ153" s="693"/>
      <c r="AR153" s="401">
        <f t="shared" si="92"/>
        <v>0.34</v>
      </c>
      <c r="AS153" s="402" t="s">
        <v>100</v>
      </c>
      <c r="AT153" s="408">
        <f>1/1</f>
        <v>1</v>
      </c>
      <c r="AU153" s="631" t="s">
        <v>1172</v>
      </c>
      <c r="AV153" s="631" t="s">
        <v>1090</v>
      </c>
      <c r="AW153" s="729" t="str">
        <f t="shared" si="81"/>
        <v>ALTO</v>
      </c>
      <c r="AX153" s="397">
        <f t="shared" si="82"/>
        <v>0.34</v>
      </c>
      <c r="AY153" s="400" t="s">
        <v>714</v>
      </c>
      <c r="AZ153" s="398">
        <f t="shared" si="83"/>
        <v>2.125</v>
      </c>
      <c r="BA153" s="398">
        <f t="shared" si="84"/>
        <v>0.45333333333333337</v>
      </c>
      <c r="BB153" s="398">
        <f t="shared" si="85"/>
        <v>0.11994443500000002</v>
      </c>
      <c r="BC153" s="15"/>
      <c r="BD153" s="14">
        <f t="shared" si="86"/>
        <v>0.33</v>
      </c>
      <c r="BE153" s="773" t="s">
        <v>100</v>
      </c>
      <c r="BF153" s="774">
        <v>1</v>
      </c>
      <c r="BG153" s="680" t="s">
        <v>1173</v>
      </c>
      <c r="BH153" s="680" t="s">
        <v>1174</v>
      </c>
      <c r="BI153" s="658" t="str">
        <f t="shared" si="93"/>
        <v>ALTO</v>
      </c>
      <c r="BJ153" s="681">
        <f t="shared" si="87"/>
        <v>0.33</v>
      </c>
      <c r="BK153" s="647" t="s">
        <v>1175</v>
      </c>
      <c r="BL153" s="682">
        <f t="shared" si="94"/>
        <v>5.28E-2</v>
      </c>
      <c r="BM153" s="682">
        <f t="shared" si="95"/>
        <v>0.24750000000000003</v>
      </c>
      <c r="BN153" s="682">
        <f t="shared" si="96"/>
        <v>0.93543314452229487</v>
      </c>
      <c r="BO153" s="658"/>
      <c r="BP153" s="860">
        <v>0.33</v>
      </c>
      <c r="BQ153" s="854" t="s">
        <v>105</v>
      </c>
      <c r="BR153" s="891">
        <v>1</v>
      </c>
      <c r="BS153" s="890" t="s">
        <v>1172</v>
      </c>
      <c r="BT153" s="890" t="s">
        <v>1090</v>
      </c>
      <c r="BU153" s="905" t="str">
        <f t="shared" si="88"/>
        <v>ALTO</v>
      </c>
      <c r="BV153" s="875">
        <f t="shared" si="104"/>
        <v>0.33</v>
      </c>
      <c r="BW153" s="859" t="s">
        <v>336</v>
      </c>
      <c r="BX153" s="857">
        <f t="shared" si="97"/>
        <v>2.0625</v>
      </c>
      <c r="BY153" s="857">
        <f t="shared" si="98"/>
        <v>0.44</v>
      </c>
      <c r="BZ153" s="857">
        <f t="shared" si="99"/>
        <v>0.11641665750000001</v>
      </c>
      <c r="CA153" s="857">
        <f t="shared" si="100"/>
        <v>0.1245</v>
      </c>
      <c r="CB153" s="16">
        <f t="shared" si="101"/>
        <v>0.66</v>
      </c>
      <c r="CC153" s="16">
        <f t="shared" si="102"/>
        <v>0.34</v>
      </c>
      <c r="CD153" s="16">
        <f t="shared" si="105"/>
        <v>1</v>
      </c>
      <c r="CE153" s="16">
        <f t="shared" si="106"/>
        <v>1</v>
      </c>
      <c r="CF153" s="16" t="e">
        <f>SUM(#REF!/(CC153+CB153))</f>
        <v>#REF!</v>
      </c>
      <c r="CG153" s="17"/>
      <c r="CH153" s="17"/>
      <c r="CI153" s="17"/>
      <c r="CJ153" s="17"/>
      <c r="CK153" s="3" t="s">
        <v>165</v>
      </c>
      <c r="CV153" s="346">
        <f t="shared" si="103"/>
        <v>1</v>
      </c>
    </row>
    <row r="154" spans="1:100" s="1" customFormat="1" ht="65.099999999999994" customHeight="1" x14ac:dyDescent="0.25">
      <c r="A154" s="356" t="s">
        <v>79</v>
      </c>
      <c r="B154" s="356" t="s">
        <v>80</v>
      </c>
      <c r="C154" s="356" t="s">
        <v>81</v>
      </c>
      <c r="D154" s="356" t="s">
        <v>82</v>
      </c>
      <c r="E154" s="356" t="s">
        <v>83</v>
      </c>
      <c r="F154" s="356" t="s">
        <v>84</v>
      </c>
      <c r="G154" s="356" t="s">
        <v>85</v>
      </c>
      <c r="H154" s="356" t="s">
        <v>86</v>
      </c>
      <c r="I154" s="356" t="s">
        <v>87</v>
      </c>
      <c r="J154" s="356" t="s">
        <v>152</v>
      </c>
      <c r="K154" s="357" t="s">
        <v>1082</v>
      </c>
      <c r="L154" s="357" t="s">
        <v>652</v>
      </c>
      <c r="M154" s="357" t="s">
        <v>166</v>
      </c>
      <c r="N154" s="367" t="s">
        <v>91</v>
      </c>
      <c r="O154" s="367" t="s">
        <v>154</v>
      </c>
      <c r="P154" s="930">
        <v>39542136.277533107</v>
      </c>
      <c r="Q154" s="368" t="s">
        <v>654</v>
      </c>
      <c r="R154" s="357" t="s">
        <v>156</v>
      </c>
      <c r="S154" s="357">
        <v>3</v>
      </c>
      <c r="T154" s="377" t="s">
        <v>167</v>
      </c>
      <c r="U154" s="357" t="s">
        <v>168</v>
      </c>
      <c r="V154" s="357" t="s">
        <v>98</v>
      </c>
      <c r="W154" s="357" t="s">
        <v>616</v>
      </c>
      <c r="X154" s="432">
        <v>0</v>
      </c>
      <c r="Y154" s="432">
        <v>0.34</v>
      </c>
      <c r="Z154" s="432">
        <v>0.33</v>
      </c>
      <c r="AA154" s="444">
        <v>0.33</v>
      </c>
      <c r="AB154" s="525">
        <v>6.25</v>
      </c>
      <c r="AC154" s="413">
        <v>1.3333333333333333</v>
      </c>
      <c r="AD154" s="413">
        <v>0.35277775</v>
      </c>
      <c r="AE154" s="413">
        <v>0.37727272727272726</v>
      </c>
      <c r="AF154" s="692">
        <f t="shared" si="91"/>
        <v>0</v>
      </c>
      <c r="AG154" s="693" t="s">
        <v>146</v>
      </c>
      <c r="AH154" s="711">
        <v>0</v>
      </c>
      <c r="AI154" s="712"/>
      <c r="AJ154" s="712"/>
      <c r="AK154" s="693"/>
      <c r="AL154" s="692">
        <f t="shared" si="77"/>
        <v>0</v>
      </c>
      <c r="AM154" s="697" t="s">
        <v>121</v>
      </c>
      <c r="AN154" s="693">
        <f t="shared" si="78"/>
        <v>0</v>
      </c>
      <c r="AO154" s="693">
        <f t="shared" si="79"/>
        <v>0</v>
      </c>
      <c r="AP154" s="693">
        <f t="shared" si="80"/>
        <v>0</v>
      </c>
      <c r="AQ154" s="693"/>
      <c r="AR154" s="401">
        <f t="shared" si="92"/>
        <v>0.34</v>
      </c>
      <c r="AS154" s="402" t="s">
        <v>100</v>
      </c>
      <c r="AT154" s="408">
        <v>0</v>
      </c>
      <c r="AU154" s="631" t="s">
        <v>1176</v>
      </c>
      <c r="AV154" s="631" t="s">
        <v>1177</v>
      </c>
      <c r="AW154" s="729" t="str">
        <f t="shared" si="81"/>
        <v>BAJO</v>
      </c>
      <c r="AX154" s="397">
        <f t="shared" si="82"/>
        <v>0</v>
      </c>
      <c r="AY154" s="400" t="s">
        <v>1178</v>
      </c>
      <c r="AZ154" s="398">
        <f t="shared" si="83"/>
        <v>0</v>
      </c>
      <c r="BA154" s="398">
        <f t="shared" si="84"/>
        <v>0</v>
      </c>
      <c r="BB154" s="398">
        <f t="shared" si="85"/>
        <v>0</v>
      </c>
      <c r="BC154" s="15"/>
      <c r="BD154" s="14">
        <f t="shared" si="86"/>
        <v>0.33</v>
      </c>
      <c r="BE154" s="773" t="s">
        <v>100</v>
      </c>
      <c r="BF154" s="774">
        <f>1/2</f>
        <v>0.5</v>
      </c>
      <c r="BG154" s="680" t="s">
        <v>1179</v>
      </c>
      <c r="BH154" s="680" t="s">
        <v>1180</v>
      </c>
      <c r="BI154" s="658" t="str">
        <f t="shared" si="93"/>
        <v>BAJO</v>
      </c>
      <c r="BJ154" s="681">
        <f t="shared" si="87"/>
        <v>0.16500000000000001</v>
      </c>
      <c r="BK154" s="647" t="s">
        <v>1181</v>
      </c>
      <c r="BL154" s="682">
        <f t="shared" si="94"/>
        <v>2.64E-2</v>
      </c>
      <c r="BM154" s="682">
        <f t="shared" si="95"/>
        <v>0.12375000000000001</v>
      </c>
      <c r="BN154" s="682">
        <f t="shared" si="96"/>
        <v>0.46771657226114743</v>
      </c>
      <c r="BO154" s="658"/>
      <c r="BP154" s="860">
        <v>0.33</v>
      </c>
      <c r="BQ154" s="854" t="s">
        <v>105</v>
      </c>
      <c r="BR154" s="891">
        <v>0.5</v>
      </c>
      <c r="BS154" s="890" t="s">
        <v>1176</v>
      </c>
      <c r="BT154" s="890" t="s">
        <v>1177</v>
      </c>
      <c r="BU154" s="907" t="str">
        <f t="shared" si="88"/>
        <v>BAJO</v>
      </c>
      <c r="BV154" s="875">
        <f t="shared" si="104"/>
        <v>0.16500000000000001</v>
      </c>
      <c r="BW154" s="859" t="s">
        <v>1182</v>
      </c>
      <c r="BX154" s="857">
        <f t="shared" si="97"/>
        <v>1.03125</v>
      </c>
      <c r="BY154" s="857">
        <f t="shared" si="98"/>
        <v>0.22</v>
      </c>
      <c r="BZ154" s="857">
        <f t="shared" si="99"/>
        <v>5.8208328750000003E-2</v>
      </c>
      <c r="CA154" s="857">
        <f t="shared" si="100"/>
        <v>6.225E-2</v>
      </c>
      <c r="CB154" s="16">
        <f t="shared" si="101"/>
        <v>0.66</v>
      </c>
      <c r="CC154" s="16">
        <f t="shared" si="102"/>
        <v>0.34</v>
      </c>
      <c r="CD154" s="16">
        <f t="shared" si="105"/>
        <v>1</v>
      </c>
      <c r="CE154" s="16">
        <f t="shared" si="106"/>
        <v>0.33</v>
      </c>
      <c r="CF154" s="16" t="e">
        <f>SUM(#REF!/(CC154+CB154))</f>
        <v>#REF!</v>
      </c>
      <c r="CG154" s="17"/>
      <c r="CH154" s="17"/>
      <c r="CI154" s="17"/>
      <c r="CJ154" s="17"/>
      <c r="CK154" s="3" t="s">
        <v>165</v>
      </c>
      <c r="CV154" s="346">
        <f t="shared" si="103"/>
        <v>1</v>
      </c>
    </row>
    <row r="155" spans="1:100" s="1" customFormat="1" ht="65.099999999999994" customHeight="1" x14ac:dyDescent="0.25">
      <c r="A155" s="356" t="s">
        <v>79</v>
      </c>
      <c r="B155" s="356" t="s">
        <v>80</v>
      </c>
      <c r="C155" s="356" t="s">
        <v>81</v>
      </c>
      <c r="D155" s="356" t="s">
        <v>82</v>
      </c>
      <c r="E155" s="356" t="s">
        <v>83</v>
      </c>
      <c r="F155" s="356" t="s">
        <v>84</v>
      </c>
      <c r="G155" s="356" t="s">
        <v>85</v>
      </c>
      <c r="H155" s="356" t="s">
        <v>86</v>
      </c>
      <c r="I155" s="356" t="s">
        <v>87</v>
      </c>
      <c r="J155" s="356" t="s">
        <v>152</v>
      </c>
      <c r="K155" s="357" t="s">
        <v>1082</v>
      </c>
      <c r="L155" s="357" t="s">
        <v>652</v>
      </c>
      <c r="M155" s="357" t="s">
        <v>174</v>
      </c>
      <c r="N155" s="367" t="s">
        <v>91</v>
      </c>
      <c r="O155" s="367" t="s">
        <v>154</v>
      </c>
      <c r="P155" s="930">
        <v>39542136.277533107</v>
      </c>
      <c r="Q155" s="368" t="s">
        <v>654</v>
      </c>
      <c r="R155" s="357" t="s">
        <v>156</v>
      </c>
      <c r="S155" s="357">
        <v>3</v>
      </c>
      <c r="T155" s="371" t="s">
        <v>175</v>
      </c>
      <c r="U155" s="357" t="s">
        <v>176</v>
      </c>
      <c r="V155" s="357" t="s">
        <v>98</v>
      </c>
      <c r="W155" s="357" t="s">
        <v>159</v>
      </c>
      <c r="X155" s="432">
        <v>0</v>
      </c>
      <c r="Y155" s="432">
        <v>0.33</v>
      </c>
      <c r="Z155" s="432">
        <v>0.33</v>
      </c>
      <c r="AA155" s="444">
        <v>0.34</v>
      </c>
      <c r="AB155" s="525">
        <v>6.25</v>
      </c>
      <c r="AC155" s="413">
        <v>1.3333333333333333</v>
      </c>
      <c r="AD155" s="413">
        <v>0.35277775</v>
      </c>
      <c r="AE155" s="413">
        <v>0.37727272727272726</v>
      </c>
      <c r="AF155" s="692">
        <f t="shared" si="91"/>
        <v>0</v>
      </c>
      <c r="AG155" s="693" t="s">
        <v>146</v>
      </c>
      <c r="AH155" s="711">
        <v>0</v>
      </c>
      <c r="AI155" s="712"/>
      <c r="AJ155" s="712"/>
      <c r="AK155" s="693"/>
      <c r="AL155" s="692">
        <f t="shared" si="77"/>
        <v>0</v>
      </c>
      <c r="AM155" s="697" t="s">
        <v>121</v>
      </c>
      <c r="AN155" s="693">
        <f t="shared" si="78"/>
        <v>0</v>
      </c>
      <c r="AO155" s="693">
        <f t="shared" si="79"/>
        <v>0</v>
      </c>
      <c r="AP155" s="693">
        <f t="shared" si="80"/>
        <v>0</v>
      </c>
      <c r="AQ155" s="693"/>
      <c r="AR155" s="401">
        <f t="shared" si="92"/>
        <v>0.33</v>
      </c>
      <c r="AS155" s="402" t="s">
        <v>100</v>
      </c>
      <c r="AT155" s="405">
        <f>1/1</f>
        <v>1</v>
      </c>
      <c r="AU155" s="631" t="s">
        <v>1183</v>
      </c>
      <c r="AV155" s="631" t="s">
        <v>1090</v>
      </c>
      <c r="AW155" s="729" t="str">
        <f t="shared" si="81"/>
        <v>ALTO</v>
      </c>
      <c r="AX155" s="397">
        <f t="shared" si="82"/>
        <v>0.33</v>
      </c>
      <c r="AY155" s="400" t="s">
        <v>714</v>
      </c>
      <c r="AZ155" s="398">
        <f t="shared" si="83"/>
        <v>2.0625</v>
      </c>
      <c r="BA155" s="398">
        <f t="shared" si="84"/>
        <v>0.44</v>
      </c>
      <c r="BB155" s="398">
        <f t="shared" si="85"/>
        <v>0.11641665750000001</v>
      </c>
      <c r="BC155" s="15"/>
      <c r="BD155" s="14">
        <f t="shared" si="86"/>
        <v>0.33</v>
      </c>
      <c r="BE155" s="773" t="s">
        <v>100</v>
      </c>
      <c r="BF155" s="774">
        <v>1</v>
      </c>
      <c r="BG155" s="680" t="s">
        <v>1184</v>
      </c>
      <c r="BH155" s="680" t="s">
        <v>1185</v>
      </c>
      <c r="BI155" s="658" t="str">
        <f t="shared" si="93"/>
        <v>ALTO</v>
      </c>
      <c r="BJ155" s="681">
        <f t="shared" si="87"/>
        <v>0.33</v>
      </c>
      <c r="BK155" s="647" t="s">
        <v>1186</v>
      </c>
      <c r="BL155" s="682">
        <f t="shared" si="94"/>
        <v>5.28E-2</v>
      </c>
      <c r="BM155" s="682">
        <f t="shared" si="95"/>
        <v>0.24750000000000003</v>
      </c>
      <c r="BN155" s="682">
        <f t="shared" si="96"/>
        <v>0.93543314452229487</v>
      </c>
      <c r="BO155" s="658"/>
      <c r="BP155" s="860">
        <v>0.34</v>
      </c>
      <c r="BQ155" s="854" t="s">
        <v>105</v>
      </c>
      <c r="BR155" s="855">
        <v>1</v>
      </c>
      <c r="BS155" s="890" t="s">
        <v>1183</v>
      </c>
      <c r="BT155" s="890" t="s">
        <v>1090</v>
      </c>
      <c r="BU155" s="905" t="str">
        <f t="shared" si="88"/>
        <v>ALTO</v>
      </c>
      <c r="BV155" s="875">
        <f t="shared" si="104"/>
        <v>0.34</v>
      </c>
      <c r="BW155" s="859" t="s">
        <v>180</v>
      </c>
      <c r="BX155" s="857">
        <f t="shared" si="97"/>
        <v>2.125</v>
      </c>
      <c r="BY155" s="857">
        <f t="shared" si="98"/>
        <v>0.45333333333333337</v>
      </c>
      <c r="BZ155" s="857">
        <f t="shared" si="99"/>
        <v>0.11994443500000002</v>
      </c>
      <c r="CA155" s="857">
        <f t="shared" si="100"/>
        <v>0.12827272727272729</v>
      </c>
      <c r="CB155" s="16">
        <f t="shared" si="101"/>
        <v>0.67</v>
      </c>
      <c r="CC155" s="16">
        <f t="shared" si="102"/>
        <v>0.33</v>
      </c>
      <c r="CD155" s="16">
        <f t="shared" si="105"/>
        <v>1</v>
      </c>
      <c r="CE155" s="16">
        <f t="shared" si="106"/>
        <v>1</v>
      </c>
      <c r="CF155" s="16" t="e">
        <f>SUM(#REF!/(CC155+CB155))</f>
        <v>#REF!</v>
      </c>
      <c r="CG155" s="17"/>
      <c r="CH155" s="17"/>
      <c r="CI155" s="17"/>
      <c r="CJ155" s="17"/>
      <c r="CK155" s="3" t="s">
        <v>165</v>
      </c>
      <c r="CV155" s="346">
        <f t="shared" si="103"/>
        <v>1</v>
      </c>
    </row>
    <row r="156" spans="1:100" s="1" customFormat="1" ht="65.099999999999994" customHeight="1" x14ac:dyDescent="0.25">
      <c r="A156" s="356" t="s">
        <v>79</v>
      </c>
      <c r="B156" s="356" t="s">
        <v>80</v>
      </c>
      <c r="C156" s="356" t="s">
        <v>81</v>
      </c>
      <c r="D156" s="356" t="s">
        <v>82</v>
      </c>
      <c r="E156" s="356" t="s">
        <v>83</v>
      </c>
      <c r="F156" s="356" t="s">
        <v>84</v>
      </c>
      <c r="G156" s="356" t="s">
        <v>85</v>
      </c>
      <c r="H156" s="356" t="s">
        <v>86</v>
      </c>
      <c r="I156" s="356" t="s">
        <v>87</v>
      </c>
      <c r="J156" s="356" t="s">
        <v>152</v>
      </c>
      <c r="K156" s="357" t="s">
        <v>1082</v>
      </c>
      <c r="L156" s="357" t="s">
        <v>652</v>
      </c>
      <c r="M156" s="357" t="s">
        <v>181</v>
      </c>
      <c r="N156" s="367" t="s">
        <v>91</v>
      </c>
      <c r="O156" s="367" t="s">
        <v>154</v>
      </c>
      <c r="P156" s="930">
        <v>39542136.277533107</v>
      </c>
      <c r="Q156" s="368" t="s">
        <v>654</v>
      </c>
      <c r="R156" s="357" t="s">
        <v>156</v>
      </c>
      <c r="S156" s="371">
        <v>1</v>
      </c>
      <c r="T156" s="369" t="s">
        <v>182</v>
      </c>
      <c r="U156" s="357" t="s">
        <v>183</v>
      </c>
      <c r="V156" s="357" t="s">
        <v>98</v>
      </c>
      <c r="W156" s="357"/>
      <c r="X156" s="432">
        <v>0</v>
      </c>
      <c r="Y156" s="432">
        <v>0.5</v>
      </c>
      <c r="Z156" s="432">
        <v>0</v>
      </c>
      <c r="AA156" s="444">
        <v>0.5</v>
      </c>
      <c r="AB156" s="525">
        <v>6.25</v>
      </c>
      <c r="AC156" s="413">
        <v>1.3333333333333333</v>
      </c>
      <c r="AD156" s="413">
        <v>0.35277775</v>
      </c>
      <c r="AE156" s="413">
        <v>0.37727272727272726</v>
      </c>
      <c r="AF156" s="692">
        <f t="shared" si="91"/>
        <v>0</v>
      </c>
      <c r="AG156" s="693" t="s">
        <v>146</v>
      </c>
      <c r="AH156" s="711">
        <v>0</v>
      </c>
      <c r="AI156" s="712"/>
      <c r="AJ156" s="712"/>
      <c r="AK156" s="693"/>
      <c r="AL156" s="692">
        <f t="shared" si="77"/>
        <v>0</v>
      </c>
      <c r="AM156" s="697" t="s">
        <v>121</v>
      </c>
      <c r="AN156" s="693">
        <f t="shared" si="78"/>
        <v>0</v>
      </c>
      <c r="AO156" s="693">
        <f t="shared" si="79"/>
        <v>0</v>
      </c>
      <c r="AP156" s="693">
        <f t="shared" si="80"/>
        <v>0</v>
      </c>
      <c r="AQ156" s="693"/>
      <c r="AR156" s="401">
        <f t="shared" si="92"/>
        <v>0.5</v>
      </c>
      <c r="AS156" s="402" t="s">
        <v>100</v>
      </c>
      <c r="AT156" s="408">
        <v>0</v>
      </c>
      <c r="AU156" s="631" t="s">
        <v>1187</v>
      </c>
      <c r="AV156" s="631" t="s">
        <v>1188</v>
      </c>
      <c r="AW156" s="729" t="str">
        <f t="shared" si="81"/>
        <v>BAJO</v>
      </c>
      <c r="AX156" s="397">
        <f t="shared" si="82"/>
        <v>0</v>
      </c>
      <c r="AY156" s="400" t="s">
        <v>1189</v>
      </c>
      <c r="AZ156" s="398">
        <f t="shared" si="83"/>
        <v>0</v>
      </c>
      <c r="BA156" s="398">
        <f t="shared" si="84"/>
        <v>0</v>
      </c>
      <c r="BB156" s="398">
        <f t="shared" si="85"/>
        <v>0</v>
      </c>
      <c r="BC156" s="15"/>
      <c r="BD156" s="14">
        <f t="shared" si="86"/>
        <v>0</v>
      </c>
      <c r="BE156" s="773" t="s">
        <v>146</v>
      </c>
      <c r="BF156" s="774"/>
      <c r="BG156" s="775" t="s">
        <v>1190</v>
      </c>
      <c r="BH156" s="678"/>
      <c r="BI156" s="658" t="str">
        <f t="shared" si="93"/>
        <v>BAJO</v>
      </c>
      <c r="BJ156" s="681">
        <f t="shared" si="87"/>
        <v>0</v>
      </c>
      <c r="BK156" s="647" t="s">
        <v>1191</v>
      </c>
      <c r="BL156" s="682">
        <f t="shared" si="94"/>
        <v>0</v>
      </c>
      <c r="BM156" s="682">
        <f t="shared" si="95"/>
        <v>0</v>
      </c>
      <c r="BN156" s="682">
        <f t="shared" si="96"/>
        <v>0</v>
      </c>
      <c r="BO156" s="658"/>
      <c r="BP156" s="860">
        <v>0.5</v>
      </c>
      <c r="BQ156" s="854" t="s">
        <v>105</v>
      </c>
      <c r="BR156" s="891">
        <v>1</v>
      </c>
      <c r="BS156" s="890" t="s">
        <v>1187</v>
      </c>
      <c r="BT156" s="890" t="s">
        <v>1188</v>
      </c>
      <c r="BU156" s="905" t="str">
        <f t="shared" si="88"/>
        <v>ALTO</v>
      </c>
      <c r="BV156" s="875">
        <f t="shared" si="104"/>
        <v>0.5</v>
      </c>
      <c r="BW156" s="859" t="s">
        <v>531</v>
      </c>
      <c r="BX156" s="857">
        <f t="shared" si="97"/>
        <v>3.125</v>
      </c>
      <c r="BY156" s="857">
        <f t="shared" si="98"/>
        <v>0.66666666666666663</v>
      </c>
      <c r="BZ156" s="857">
        <f t="shared" si="99"/>
        <v>0.176388875</v>
      </c>
      <c r="CA156" s="857">
        <f t="shared" si="100"/>
        <v>0.18863636363636363</v>
      </c>
      <c r="CB156" s="16">
        <f t="shared" si="101"/>
        <v>0.5</v>
      </c>
      <c r="CC156" s="16">
        <f t="shared" si="102"/>
        <v>0.5</v>
      </c>
      <c r="CD156" s="16">
        <f t="shared" si="105"/>
        <v>1</v>
      </c>
      <c r="CE156" s="16">
        <f t="shared" si="106"/>
        <v>0.5</v>
      </c>
      <c r="CF156" s="16" t="e">
        <f>SUM(#REF!/(CC156+CB156))</f>
        <v>#REF!</v>
      </c>
      <c r="CG156" s="17"/>
      <c r="CH156" s="17"/>
      <c r="CI156" s="17"/>
      <c r="CJ156" s="17"/>
      <c r="CK156" s="3" t="s">
        <v>165</v>
      </c>
      <c r="CV156" s="346">
        <f t="shared" si="103"/>
        <v>1</v>
      </c>
    </row>
    <row r="157" spans="1:100" s="1" customFormat="1" ht="65.099999999999994" customHeight="1" x14ac:dyDescent="0.25">
      <c r="A157" s="356" t="s">
        <v>79</v>
      </c>
      <c r="B157" s="356" t="s">
        <v>80</v>
      </c>
      <c r="C157" s="356" t="s">
        <v>81</v>
      </c>
      <c r="D157" s="356" t="s">
        <v>82</v>
      </c>
      <c r="E157" s="356" t="s">
        <v>83</v>
      </c>
      <c r="F157" s="356" t="s">
        <v>84</v>
      </c>
      <c r="G157" s="356" t="s">
        <v>85</v>
      </c>
      <c r="H157" s="356" t="s">
        <v>86</v>
      </c>
      <c r="I157" s="356" t="s">
        <v>87</v>
      </c>
      <c r="J157" s="356" t="s">
        <v>152</v>
      </c>
      <c r="K157" s="357" t="s">
        <v>1082</v>
      </c>
      <c r="L157" s="357" t="s">
        <v>652</v>
      </c>
      <c r="M157" s="357" t="s">
        <v>633</v>
      </c>
      <c r="N157" s="367" t="s">
        <v>91</v>
      </c>
      <c r="O157" s="367" t="s">
        <v>154</v>
      </c>
      <c r="P157" s="930">
        <v>39542136.277533107</v>
      </c>
      <c r="Q157" s="368" t="s">
        <v>654</v>
      </c>
      <c r="R157" s="357" t="s">
        <v>156</v>
      </c>
      <c r="S157" s="378">
        <v>1</v>
      </c>
      <c r="T157" s="369" t="s">
        <v>191</v>
      </c>
      <c r="U157" s="357" t="s">
        <v>158</v>
      </c>
      <c r="V157" s="357" t="s">
        <v>98</v>
      </c>
      <c r="W157" s="357" t="s">
        <v>634</v>
      </c>
      <c r="X157" s="432">
        <v>0</v>
      </c>
      <c r="Y157" s="432">
        <v>0</v>
      </c>
      <c r="Z157" s="432">
        <v>0.34</v>
      </c>
      <c r="AA157" s="444">
        <v>0.66</v>
      </c>
      <c r="AB157" s="525">
        <v>6.25</v>
      </c>
      <c r="AC157" s="413">
        <v>1.3333333333333333</v>
      </c>
      <c r="AD157" s="413">
        <v>0.35277775</v>
      </c>
      <c r="AE157" s="413">
        <v>0.37727272727272726</v>
      </c>
      <c r="AF157" s="692">
        <f t="shared" si="91"/>
        <v>0</v>
      </c>
      <c r="AG157" s="693" t="s">
        <v>146</v>
      </c>
      <c r="AH157" s="711">
        <v>0</v>
      </c>
      <c r="AI157" s="712"/>
      <c r="AJ157" s="712"/>
      <c r="AK157" s="693"/>
      <c r="AL157" s="692">
        <f t="shared" si="77"/>
        <v>0</v>
      </c>
      <c r="AM157" s="697" t="s">
        <v>121</v>
      </c>
      <c r="AN157" s="693">
        <f t="shared" si="78"/>
        <v>0</v>
      </c>
      <c r="AO157" s="693">
        <f t="shared" si="79"/>
        <v>0</v>
      </c>
      <c r="AP157" s="693">
        <f t="shared" si="80"/>
        <v>0</v>
      </c>
      <c r="AQ157" s="693"/>
      <c r="AR157" s="401">
        <f t="shared" si="92"/>
        <v>0</v>
      </c>
      <c r="AS157" s="402" t="s">
        <v>146</v>
      </c>
      <c r="AT157" s="408">
        <v>0</v>
      </c>
      <c r="AU157" s="631"/>
      <c r="AV157" s="631"/>
      <c r="AW157" s="729"/>
      <c r="AX157" s="397">
        <f t="shared" si="82"/>
        <v>0</v>
      </c>
      <c r="AY157" s="400" t="s">
        <v>121</v>
      </c>
      <c r="AZ157" s="398">
        <f t="shared" si="83"/>
        <v>0</v>
      </c>
      <c r="BA157" s="398">
        <f t="shared" si="84"/>
        <v>0</v>
      </c>
      <c r="BB157" s="398">
        <f t="shared" si="85"/>
        <v>0</v>
      </c>
      <c r="BC157" s="15"/>
      <c r="BD157" s="14">
        <f t="shared" si="86"/>
        <v>0.34</v>
      </c>
      <c r="BE157" s="773" t="s">
        <v>100</v>
      </c>
      <c r="BF157" s="774">
        <f>1/1</f>
        <v>1</v>
      </c>
      <c r="BG157" s="680" t="s">
        <v>1192</v>
      </c>
      <c r="BH157" s="680" t="s">
        <v>1193</v>
      </c>
      <c r="BI157" s="658" t="str">
        <f t="shared" si="93"/>
        <v>ALTO</v>
      </c>
      <c r="BJ157" s="681">
        <f t="shared" si="87"/>
        <v>0.34</v>
      </c>
      <c r="BK157" s="647" t="s">
        <v>1194</v>
      </c>
      <c r="BL157" s="682">
        <f t="shared" si="94"/>
        <v>5.4400000000000004E-2</v>
      </c>
      <c r="BM157" s="682">
        <f t="shared" si="95"/>
        <v>0.25500000000000006</v>
      </c>
      <c r="BN157" s="682">
        <f t="shared" si="96"/>
        <v>0.96377960344721292</v>
      </c>
      <c r="BO157" s="658"/>
      <c r="BP157" s="860">
        <v>0.66</v>
      </c>
      <c r="BQ157" s="854" t="s">
        <v>105</v>
      </c>
      <c r="BR157" s="891">
        <v>1</v>
      </c>
      <c r="BS157" s="890"/>
      <c r="BT157" s="890"/>
      <c r="BU157" s="905" t="str">
        <f t="shared" si="88"/>
        <v>ALTO</v>
      </c>
      <c r="BV157" s="875">
        <f t="shared" si="104"/>
        <v>0.66</v>
      </c>
      <c r="BW157" s="859" t="s">
        <v>1195</v>
      </c>
      <c r="BX157" s="857">
        <f t="shared" si="97"/>
        <v>4.125</v>
      </c>
      <c r="BY157" s="857">
        <f t="shared" si="98"/>
        <v>0.88</v>
      </c>
      <c r="BZ157" s="857">
        <f t="shared" si="99"/>
        <v>0.23283331500000001</v>
      </c>
      <c r="CA157" s="857">
        <f t="shared" si="100"/>
        <v>0.249</v>
      </c>
      <c r="CB157" s="16">
        <f t="shared" si="101"/>
        <v>1</v>
      </c>
      <c r="CC157" s="16">
        <f t="shared" si="102"/>
        <v>0</v>
      </c>
      <c r="CD157" s="16">
        <f t="shared" si="105"/>
        <v>1</v>
      </c>
      <c r="CE157" s="16">
        <f t="shared" si="106"/>
        <v>1</v>
      </c>
      <c r="CF157" s="16" t="e">
        <f>SUM(#REF!/(CC157+CB157))</f>
        <v>#REF!</v>
      </c>
      <c r="CG157" s="17"/>
      <c r="CH157" s="17"/>
      <c r="CI157" s="17"/>
      <c r="CJ157" s="17"/>
      <c r="CK157" s="3" t="s">
        <v>165</v>
      </c>
      <c r="CV157" s="346">
        <f t="shared" si="103"/>
        <v>1</v>
      </c>
    </row>
    <row r="158" spans="1:100" s="1" customFormat="1" ht="65.099999999999994" customHeight="1" x14ac:dyDescent="0.25">
      <c r="A158" s="356" t="s">
        <v>79</v>
      </c>
      <c r="B158" s="356" t="s">
        <v>80</v>
      </c>
      <c r="C158" s="356" t="s">
        <v>81</v>
      </c>
      <c r="D158" s="356" t="s">
        <v>82</v>
      </c>
      <c r="E158" s="356" t="s">
        <v>83</v>
      </c>
      <c r="F158" s="356" t="s">
        <v>84</v>
      </c>
      <c r="G158" s="356" t="s">
        <v>85</v>
      </c>
      <c r="H158" s="356" t="s">
        <v>86</v>
      </c>
      <c r="I158" s="356" t="s">
        <v>87</v>
      </c>
      <c r="J158" s="356" t="s">
        <v>152</v>
      </c>
      <c r="K158" s="357" t="s">
        <v>1082</v>
      </c>
      <c r="L158" s="357" t="s">
        <v>652</v>
      </c>
      <c r="M158" s="357" t="s">
        <v>195</v>
      </c>
      <c r="N158" s="367" t="s">
        <v>91</v>
      </c>
      <c r="O158" s="367" t="s">
        <v>154</v>
      </c>
      <c r="P158" s="930">
        <v>39542136.277533107</v>
      </c>
      <c r="Q158" s="368" t="s">
        <v>654</v>
      </c>
      <c r="R158" s="357" t="s">
        <v>156</v>
      </c>
      <c r="S158" s="357">
        <v>7</v>
      </c>
      <c r="T158" s="369" t="s">
        <v>196</v>
      </c>
      <c r="U158" s="357" t="s">
        <v>158</v>
      </c>
      <c r="V158" s="370" t="s">
        <v>98</v>
      </c>
      <c r="W158" s="357" t="s">
        <v>197</v>
      </c>
      <c r="X158" s="432">
        <v>0</v>
      </c>
      <c r="Y158" s="432">
        <f>1/7</f>
        <v>0.14285714285714285</v>
      </c>
      <c r="Z158" s="432">
        <f>3/7</f>
        <v>0.42857142857142855</v>
      </c>
      <c r="AA158" s="444">
        <f>3/7</f>
        <v>0.42857142857142855</v>
      </c>
      <c r="AB158" s="525">
        <v>6.25</v>
      </c>
      <c r="AC158" s="413">
        <v>1.3333333333333333</v>
      </c>
      <c r="AD158" s="413">
        <v>0.35277775</v>
      </c>
      <c r="AE158" s="413">
        <v>0.37727272727272726</v>
      </c>
      <c r="AF158" s="692">
        <f t="shared" si="91"/>
        <v>0</v>
      </c>
      <c r="AG158" s="693" t="s">
        <v>146</v>
      </c>
      <c r="AH158" s="711">
        <v>0</v>
      </c>
      <c r="AI158" s="712"/>
      <c r="AJ158" s="712"/>
      <c r="AK158" s="693"/>
      <c r="AL158" s="692">
        <f t="shared" si="77"/>
        <v>0</v>
      </c>
      <c r="AM158" s="697" t="s">
        <v>121</v>
      </c>
      <c r="AN158" s="693">
        <f t="shared" si="78"/>
        <v>0</v>
      </c>
      <c r="AO158" s="693">
        <f t="shared" si="79"/>
        <v>0</v>
      </c>
      <c r="AP158" s="693">
        <f t="shared" si="80"/>
        <v>0</v>
      </c>
      <c r="AQ158" s="693"/>
      <c r="AR158" s="401">
        <f t="shared" si="92"/>
        <v>0.14285714285714285</v>
      </c>
      <c r="AS158" s="402" t="s">
        <v>100</v>
      </c>
      <c r="AT158" s="408">
        <f>1/1</f>
        <v>1</v>
      </c>
      <c r="AU158" s="631" t="s">
        <v>1196</v>
      </c>
      <c r="AV158" s="631" t="s">
        <v>1090</v>
      </c>
      <c r="AW158" s="729" t="str">
        <f t="shared" si="81"/>
        <v>ALTO</v>
      </c>
      <c r="AX158" s="397">
        <f t="shared" si="82"/>
        <v>0.14285714285714285</v>
      </c>
      <c r="AY158" s="400" t="s">
        <v>714</v>
      </c>
      <c r="AZ158" s="398">
        <f t="shared" si="83"/>
        <v>0.89285714285714279</v>
      </c>
      <c r="BA158" s="398">
        <f t="shared" si="84"/>
        <v>0.19047619047619047</v>
      </c>
      <c r="BB158" s="398">
        <f t="shared" si="85"/>
        <v>5.0396821428571423E-2</v>
      </c>
      <c r="BC158" s="15"/>
      <c r="BD158" s="14">
        <f t="shared" si="86"/>
        <v>0.42857142857142855</v>
      </c>
      <c r="BE158" s="773" t="s">
        <v>100</v>
      </c>
      <c r="BF158" s="774">
        <v>0</v>
      </c>
      <c r="BG158" s="680" t="s">
        <v>1197</v>
      </c>
      <c r="BH158" s="680"/>
      <c r="BI158" s="658" t="str">
        <f t="shared" si="93"/>
        <v>BAJO</v>
      </c>
      <c r="BJ158" s="681">
        <f t="shared" si="87"/>
        <v>0</v>
      </c>
      <c r="BK158" s="647" t="s">
        <v>1198</v>
      </c>
      <c r="BL158" s="682">
        <f t="shared" si="94"/>
        <v>0</v>
      </c>
      <c r="BM158" s="682">
        <f t="shared" si="95"/>
        <v>0</v>
      </c>
      <c r="BN158" s="682">
        <f t="shared" si="96"/>
        <v>0</v>
      </c>
      <c r="BO158" s="658"/>
      <c r="BP158" s="860">
        <v>0.43</v>
      </c>
      <c r="BQ158" s="854" t="s">
        <v>105</v>
      </c>
      <c r="BR158" s="891">
        <v>0</v>
      </c>
      <c r="BS158" s="890" t="s">
        <v>1196</v>
      </c>
      <c r="BT158" s="890" t="s">
        <v>1090</v>
      </c>
      <c r="BU158" s="907" t="str">
        <f t="shared" si="88"/>
        <v>BAJO</v>
      </c>
      <c r="BV158" s="875">
        <f t="shared" si="104"/>
        <v>0</v>
      </c>
      <c r="BW158" s="859" t="s">
        <v>1199</v>
      </c>
      <c r="BX158" s="857">
        <f t="shared" si="97"/>
        <v>0</v>
      </c>
      <c r="BY158" s="857">
        <f t="shared" si="98"/>
        <v>0</v>
      </c>
      <c r="BZ158" s="857">
        <f t="shared" si="99"/>
        <v>0</v>
      </c>
      <c r="CA158" s="857">
        <f t="shared" si="100"/>
        <v>0</v>
      </c>
      <c r="CB158" s="16">
        <f t="shared" si="101"/>
        <v>0.85857142857142854</v>
      </c>
      <c r="CC158" s="16">
        <f t="shared" si="102"/>
        <v>0.14285714285714285</v>
      </c>
      <c r="CD158" s="16">
        <f t="shared" si="105"/>
        <v>1</v>
      </c>
      <c r="CE158" s="16">
        <f t="shared" si="106"/>
        <v>0.14285714285714285</v>
      </c>
      <c r="CF158" s="16" t="e">
        <f>SUM(#REF!/(CC158+CB158))</f>
        <v>#REF!</v>
      </c>
      <c r="CG158" s="17"/>
      <c r="CH158" s="17"/>
      <c r="CI158" s="17"/>
      <c r="CJ158" s="17"/>
      <c r="CK158" s="3" t="s">
        <v>165</v>
      </c>
      <c r="CV158" s="346">
        <f t="shared" si="103"/>
        <v>1</v>
      </c>
    </row>
    <row r="159" spans="1:100" s="1" customFormat="1" ht="65.099999999999994" customHeight="1" thickBot="1" x14ac:dyDescent="0.3">
      <c r="A159" s="356" t="s">
        <v>79</v>
      </c>
      <c r="B159" s="356" t="s">
        <v>80</v>
      </c>
      <c r="C159" s="356" t="s">
        <v>81</v>
      </c>
      <c r="D159" s="356" t="s">
        <v>82</v>
      </c>
      <c r="E159" s="356" t="s">
        <v>83</v>
      </c>
      <c r="F159" s="356" t="s">
        <v>84</v>
      </c>
      <c r="G159" s="356" t="s">
        <v>85</v>
      </c>
      <c r="H159" s="356" t="s">
        <v>86</v>
      </c>
      <c r="I159" s="356" t="s">
        <v>87</v>
      </c>
      <c r="J159" s="356" t="s">
        <v>152</v>
      </c>
      <c r="K159" s="357" t="s">
        <v>1082</v>
      </c>
      <c r="L159" s="357" t="s">
        <v>652</v>
      </c>
      <c r="M159" s="357" t="s">
        <v>201</v>
      </c>
      <c r="N159" s="367" t="s">
        <v>91</v>
      </c>
      <c r="O159" s="367" t="s">
        <v>202</v>
      </c>
      <c r="P159" s="930">
        <v>39542136.277533107</v>
      </c>
      <c r="Q159" s="368" t="s">
        <v>654</v>
      </c>
      <c r="R159" s="357" t="s">
        <v>156</v>
      </c>
      <c r="S159" s="378">
        <v>1</v>
      </c>
      <c r="T159" s="369" t="s">
        <v>203</v>
      </c>
      <c r="U159" s="357" t="s">
        <v>204</v>
      </c>
      <c r="V159" s="357" t="s">
        <v>98</v>
      </c>
      <c r="W159" s="357" t="s">
        <v>205</v>
      </c>
      <c r="X159" s="432">
        <v>0</v>
      </c>
      <c r="Y159" s="432">
        <v>0</v>
      </c>
      <c r="Z159" s="432">
        <v>0</v>
      </c>
      <c r="AA159" s="444">
        <v>1</v>
      </c>
      <c r="AB159" s="525">
        <v>6.25</v>
      </c>
      <c r="AC159" s="413">
        <v>1.3333333333333333</v>
      </c>
      <c r="AD159" s="413">
        <v>0.35277775</v>
      </c>
      <c r="AE159" s="413">
        <v>0.37727272727272726</v>
      </c>
      <c r="AF159" s="692">
        <f t="shared" si="91"/>
        <v>0</v>
      </c>
      <c r="AG159" s="693" t="s">
        <v>146</v>
      </c>
      <c r="AH159" s="711">
        <v>0</v>
      </c>
      <c r="AI159" s="712"/>
      <c r="AJ159" s="712"/>
      <c r="AK159" s="693"/>
      <c r="AL159" s="692">
        <f t="shared" si="77"/>
        <v>0</v>
      </c>
      <c r="AM159" s="697" t="s">
        <v>121</v>
      </c>
      <c r="AN159" s="693">
        <f t="shared" si="78"/>
        <v>0</v>
      </c>
      <c r="AO159" s="693">
        <f t="shared" si="79"/>
        <v>0</v>
      </c>
      <c r="AP159" s="693">
        <f t="shared" si="80"/>
        <v>0</v>
      </c>
      <c r="AQ159" s="693"/>
      <c r="AR159" s="401">
        <f t="shared" si="92"/>
        <v>0</v>
      </c>
      <c r="AS159" s="402" t="s">
        <v>146</v>
      </c>
      <c r="AT159" s="408">
        <v>0</v>
      </c>
      <c r="AU159" s="631"/>
      <c r="AV159" s="631"/>
      <c r="AW159" s="729"/>
      <c r="AX159" s="397">
        <f t="shared" si="82"/>
        <v>0</v>
      </c>
      <c r="AY159" s="400" t="s">
        <v>121</v>
      </c>
      <c r="AZ159" s="398">
        <f t="shared" si="83"/>
        <v>0</v>
      </c>
      <c r="BA159" s="398">
        <f t="shared" si="84"/>
        <v>0</v>
      </c>
      <c r="BB159" s="398">
        <f t="shared" si="85"/>
        <v>0</v>
      </c>
      <c r="BC159" s="15"/>
      <c r="BD159" s="14">
        <f t="shared" si="86"/>
        <v>0</v>
      </c>
      <c r="BE159" s="773" t="s">
        <v>146</v>
      </c>
      <c r="BF159" s="774"/>
      <c r="BG159" s="680" t="s">
        <v>121</v>
      </c>
      <c r="BH159" s="680"/>
      <c r="BI159" s="658" t="str">
        <f t="shared" si="93"/>
        <v>BAJO</v>
      </c>
      <c r="BJ159" s="681">
        <f t="shared" si="87"/>
        <v>0</v>
      </c>
      <c r="BK159" s="658" t="s">
        <v>149</v>
      </c>
      <c r="BL159" s="682">
        <f t="shared" si="94"/>
        <v>0</v>
      </c>
      <c r="BM159" s="682">
        <f t="shared" si="95"/>
        <v>0</v>
      </c>
      <c r="BN159" s="682">
        <f t="shared" si="96"/>
        <v>0</v>
      </c>
      <c r="BO159" s="658"/>
      <c r="BP159" s="860">
        <v>1</v>
      </c>
      <c r="BQ159" s="854" t="s">
        <v>105</v>
      </c>
      <c r="BR159" s="893">
        <v>0</v>
      </c>
      <c r="BS159" s="890"/>
      <c r="BT159" s="890"/>
      <c r="BU159" s="907" t="str">
        <f t="shared" si="88"/>
        <v>BAJO</v>
      </c>
      <c r="BV159" s="875">
        <f t="shared" si="104"/>
        <v>0</v>
      </c>
      <c r="BW159" s="859" t="s">
        <v>993</v>
      </c>
      <c r="BX159" s="857">
        <f t="shared" si="97"/>
        <v>0</v>
      </c>
      <c r="BY159" s="857">
        <f t="shared" si="98"/>
        <v>0</v>
      </c>
      <c r="BZ159" s="857">
        <f t="shared" si="99"/>
        <v>0</v>
      </c>
      <c r="CA159" s="857">
        <f t="shared" si="100"/>
        <v>0</v>
      </c>
      <c r="CB159" s="16">
        <f t="shared" si="101"/>
        <v>1</v>
      </c>
      <c r="CC159" s="16">
        <f t="shared" si="102"/>
        <v>0</v>
      </c>
      <c r="CD159" s="16">
        <f t="shared" si="105"/>
        <v>1</v>
      </c>
      <c r="CE159" s="16">
        <f t="shared" si="106"/>
        <v>0</v>
      </c>
      <c r="CF159" s="16" t="e">
        <f>SUM(#REF!/(CC159+CB159))</f>
        <v>#REF!</v>
      </c>
      <c r="CG159" s="17"/>
      <c r="CH159" s="17"/>
      <c r="CI159" s="17"/>
      <c r="CJ159" s="17"/>
      <c r="CK159" s="3" t="s">
        <v>165</v>
      </c>
      <c r="CV159" s="346">
        <f t="shared" si="103"/>
        <v>1</v>
      </c>
    </row>
    <row r="160" spans="1:100" s="1" customFormat="1" ht="65.099999999999994" customHeight="1" x14ac:dyDescent="0.25">
      <c r="A160" s="354" t="s">
        <v>79</v>
      </c>
      <c r="B160" s="354" t="s">
        <v>80</v>
      </c>
      <c r="C160" s="354" t="s">
        <v>81</v>
      </c>
      <c r="D160" s="354" t="s">
        <v>82</v>
      </c>
      <c r="E160" s="354" t="s">
        <v>83</v>
      </c>
      <c r="F160" s="354" t="s">
        <v>84</v>
      </c>
      <c r="G160" s="354" t="s">
        <v>85</v>
      </c>
      <c r="H160" s="354" t="s">
        <v>86</v>
      </c>
      <c r="I160" s="354" t="s">
        <v>87</v>
      </c>
      <c r="J160" s="354" t="s">
        <v>152</v>
      </c>
      <c r="K160" s="348" t="s">
        <v>5</v>
      </c>
      <c r="L160" s="348" t="s">
        <v>539</v>
      </c>
      <c r="M160" s="686" t="s">
        <v>1200</v>
      </c>
      <c r="N160" s="361" t="s">
        <v>1201</v>
      </c>
      <c r="O160" s="361" t="s">
        <v>1202</v>
      </c>
      <c r="P160" s="922">
        <v>39542136.277533107</v>
      </c>
      <c r="Q160" s="482" t="s">
        <v>543</v>
      </c>
      <c r="R160" s="476" t="s">
        <v>213</v>
      </c>
      <c r="S160" s="392">
        <v>12</v>
      </c>
      <c r="T160" s="393" t="s">
        <v>1203</v>
      </c>
      <c r="U160" s="393" t="s">
        <v>1204</v>
      </c>
      <c r="V160" s="393" t="s">
        <v>119</v>
      </c>
      <c r="W160" s="506" t="s">
        <v>1205</v>
      </c>
      <c r="X160" s="430">
        <v>0</v>
      </c>
      <c r="Y160" s="430">
        <v>0.5</v>
      </c>
      <c r="Z160" s="430">
        <v>0.25</v>
      </c>
      <c r="AA160" s="431">
        <v>0.25</v>
      </c>
      <c r="AB160" s="525">
        <v>6.7</v>
      </c>
      <c r="AC160" s="413">
        <v>0.99009900990099009</v>
      </c>
      <c r="AD160" s="413">
        <v>0.36148146666666664</v>
      </c>
      <c r="AE160" s="413">
        <v>0.37727272727272726</v>
      </c>
      <c r="AF160" s="692">
        <f t="shared" si="91"/>
        <v>0</v>
      </c>
      <c r="AG160" s="693" t="s">
        <v>146</v>
      </c>
      <c r="AH160" s="711">
        <v>0</v>
      </c>
      <c r="AI160" s="693"/>
      <c r="AJ160" s="693"/>
      <c r="AK160" s="693"/>
      <c r="AL160" s="692">
        <f t="shared" si="77"/>
        <v>0</v>
      </c>
      <c r="AM160" s="697" t="s">
        <v>121</v>
      </c>
      <c r="AN160" s="693">
        <f t="shared" si="78"/>
        <v>0</v>
      </c>
      <c r="AO160" s="693">
        <f t="shared" si="79"/>
        <v>0</v>
      </c>
      <c r="AP160" s="693">
        <f t="shared" si="80"/>
        <v>0</v>
      </c>
      <c r="AQ160" s="693"/>
      <c r="AR160" s="401">
        <f t="shared" si="92"/>
        <v>0.5</v>
      </c>
      <c r="AS160" s="402" t="s">
        <v>100</v>
      </c>
      <c r="AT160" s="408">
        <v>0</v>
      </c>
      <c r="AU160" s="406"/>
      <c r="AV160" s="406" t="s">
        <v>1206</v>
      </c>
      <c r="AW160" s="729" t="str">
        <f t="shared" si="81"/>
        <v>BAJO</v>
      </c>
      <c r="AX160" s="397">
        <f t="shared" si="82"/>
        <v>0</v>
      </c>
      <c r="AY160" s="400" t="s">
        <v>1207</v>
      </c>
      <c r="AZ160" s="398">
        <f t="shared" si="83"/>
        <v>0</v>
      </c>
      <c r="BA160" s="398">
        <f t="shared" si="84"/>
        <v>0</v>
      </c>
      <c r="BB160" s="398">
        <f t="shared" si="85"/>
        <v>0</v>
      </c>
      <c r="BC160" s="15"/>
      <c r="BD160" s="14">
        <f t="shared" si="86"/>
        <v>0.25</v>
      </c>
      <c r="BE160" s="645" t="s">
        <v>100</v>
      </c>
      <c r="BF160" s="776">
        <f>1/3</f>
        <v>0.33333333333333331</v>
      </c>
      <c r="BG160" s="674" t="s">
        <v>1208</v>
      </c>
      <c r="BH160" s="674" t="s">
        <v>1209</v>
      </c>
      <c r="BI160" s="658" t="str">
        <f t="shared" si="93"/>
        <v>BAJO</v>
      </c>
      <c r="BJ160" s="681">
        <f t="shared" si="87"/>
        <v>8.3333333333333329E-2</v>
      </c>
      <c r="BK160" s="777" t="s">
        <v>1210</v>
      </c>
      <c r="BL160" s="682">
        <f t="shared" si="94"/>
        <v>1.2437810945273631E-2</v>
      </c>
      <c r="BM160" s="682">
        <f t="shared" si="95"/>
        <v>8.4166666666666667E-2</v>
      </c>
      <c r="BN160" s="682">
        <f t="shared" si="96"/>
        <v>0.23053279633331134</v>
      </c>
      <c r="BO160" s="658"/>
      <c r="BP160" s="853">
        <f t="shared" ref="BP160:BP170" si="107">AA160</f>
        <v>0.25</v>
      </c>
      <c r="BQ160" s="854" t="s">
        <v>105</v>
      </c>
      <c r="BR160" s="894">
        <v>1</v>
      </c>
      <c r="BS160" s="895" t="s">
        <v>1211</v>
      </c>
      <c r="BT160" s="890" t="s">
        <v>1209</v>
      </c>
      <c r="BU160" s="905" t="str">
        <f t="shared" si="88"/>
        <v>ALTO</v>
      </c>
      <c r="BV160" s="875">
        <f t="shared" si="104"/>
        <v>0.25</v>
      </c>
      <c r="BW160" s="859" t="s">
        <v>1212</v>
      </c>
      <c r="BX160" s="857">
        <f t="shared" si="97"/>
        <v>1.675</v>
      </c>
      <c r="BY160" s="857">
        <f t="shared" si="98"/>
        <v>0.24752475247524752</v>
      </c>
      <c r="BZ160" s="857">
        <f t="shared" si="99"/>
        <v>9.037036666666666E-2</v>
      </c>
      <c r="CA160" s="857">
        <f t="shared" si="100"/>
        <v>9.4318181818181815E-2</v>
      </c>
      <c r="CB160" s="16">
        <f t="shared" si="101"/>
        <v>0.5</v>
      </c>
      <c r="CC160" s="16">
        <f t="shared" si="102"/>
        <v>0.5</v>
      </c>
      <c r="CD160" s="16">
        <f t="shared" si="105"/>
        <v>1</v>
      </c>
      <c r="CE160" s="16">
        <f t="shared" si="106"/>
        <v>0.33333333333333331</v>
      </c>
      <c r="CF160" s="16" t="e">
        <f>SUM(#REF!/(CC160+CB160))</f>
        <v>#REF!</v>
      </c>
      <c r="CG160" s="17"/>
      <c r="CH160" s="17"/>
      <c r="CI160" s="17"/>
      <c r="CJ160" s="17"/>
      <c r="CV160" s="346">
        <f t="shared" si="103"/>
        <v>1</v>
      </c>
    </row>
    <row r="161" spans="1:100" s="1" customFormat="1" ht="155.25" customHeight="1" x14ac:dyDescent="0.25">
      <c r="A161" s="354" t="s">
        <v>79</v>
      </c>
      <c r="B161" s="354" t="s">
        <v>80</v>
      </c>
      <c r="C161" s="354" t="s">
        <v>81</v>
      </c>
      <c r="D161" s="354" t="s">
        <v>82</v>
      </c>
      <c r="E161" s="354" t="s">
        <v>83</v>
      </c>
      <c r="F161" s="354" t="s">
        <v>84</v>
      </c>
      <c r="G161" s="354" t="s">
        <v>85</v>
      </c>
      <c r="H161" s="354" t="s">
        <v>86</v>
      </c>
      <c r="I161" s="354" t="s">
        <v>87</v>
      </c>
      <c r="J161" s="354" t="s">
        <v>152</v>
      </c>
      <c r="K161" s="348" t="s">
        <v>5</v>
      </c>
      <c r="L161" s="348" t="s">
        <v>539</v>
      </c>
      <c r="M161" s="686" t="s">
        <v>1213</v>
      </c>
      <c r="N161" s="361" t="s">
        <v>1201</v>
      </c>
      <c r="O161" s="361" t="s">
        <v>1202</v>
      </c>
      <c r="P161" s="922">
        <v>39542136.277533107</v>
      </c>
      <c r="Q161" s="482" t="s">
        <v>543</v>
      </c>
      <c r="R161" s="476" t="s">
        <v>213</v>
      </c>
      <c r="S161" s="392">
        <v>25</v>
      </c>
      <c r="T161" s="393" t="s">
        <v>1214</v>
      </c>
      <c r="U161" s="393" t="s">
        <v>1215</v>
      </c>
      <c r="V161" s="393" t="s">
        <v>119</v>
      </c>
      <c r="W161" s="507" t="s">
        <v>1216</v>
      </c>
      <c r="X161" s="430">
        <v>0.25</v>
      </c>
      <c r="Y161" s="430">
        <v>0.25</v>
      </c>
      <c r="Z161" s="430">
        <v>0.25</v>
      </c>
      <c r="AA161" s="431">
        <v>0.25</v>
      </c>
      <c r="AB161" s="525">
        <v>6.7</v>
      </c>
      <c r="AC161" s="413">
        <v>0.99009900990099009</v>
      </c>
      <c r="AD161" s="413">
        <v>0.36148146666666664</v>
      </c>
      <c r="AE161" s="413">
        <v>0.37727272727272726</v>
      </c>
      <c r="AF161" s="692">
        <f t="shared" si="91"/>
        <v>0.25</v>
      </c>
      <c r="AG161" s="693" t="s">
        <v>100</v>
      </c>
      <c r="AH161" s="698">
        <f>3.5/7</f>
        <v>0.5</v>
      </c>
      <c r="AI161" s="697" t="s">
        <v>1217</v>
      </c>
      <c r="AJ161" s="697" t="s">
        <v>1218</v>
      </c>
      <c r="AK161" s="693" t="str">
        <f t="shared" ref="AK161:AK167" si="108">+IF(AND(AH161&gt;=0%,AH161&lt;=60%),"BAJO",IF(AND(AH161&gt;=61%,AH161&lt;=80%),"MEDIO","ALTO"))</f>
        <v>BAJO</v>
      </c>
      <c r="AL161" s="692">
        <f t="shared" ref="AL161:AL224" si="109">AF161*AH161</f>
        <v>0.125</v>
      </c>
      <c r="AM161" s="695" t="s">
        <v>1219</v>
      </c>
      <c r="AN161" s="693">
        <f t="shared" ref="AN161:AN224" si="110">AL161*AB161</f>
        <v>0.83750000000000002</v>
      </c>
      <c r="AO161" s="693">
        <f t="shared" ref="AO161:AO224" si="111">AL161*AC161</f>
        <v>0.12376237623762376</v>
      </c>
      <c r="AP161" s="693">
        <f t="shared" ref="AP161:AP224" si="112">AL161*AD161</f>
        <v>4.518518333333333E-2</v>
      </c>
      <c r="AQ161" s="693"/>
      <c r="AR161" s="401">
        <f t="shared" si="92"/>
        <v>0.25</v>
      </c>
      <c r="AS161" s="402" t="s">
        <v>100</v>
      </c>
      <c r="AT161" s="405">
        <f>4/6</f>
        <v>0.66666666666666663</v>
      </c>
      <c r="AU161" s="406" t="s">
        <v>1220</v>
      </c>
      <c r="AV161" s="406" t="s">
        <v>1221</v>
      </c>
      <c r="AW161" s="729" t="str">
        <f t="shared" ref="AW161:AW224" si="113">+IF(AND(AT161&gt;=0%,AT161&lt;=60%),"BAJO",IF(AND(AT161&gt;=61%,AT161&lt;=80%),"MEDIO","ALTO"))</f>
        <v>MEDIO</v>
      </c>
      <c r="AX161" s="397">
        <f t="shared" ref="AX161:AX224" si="114">AR161*AT161</f>
        <v>0.16666666666666666</v>
      </c>
      <c r="AY161" s="400" t="s">
        <v>1222</v>
      </c>
      <c r="AZ161" s="398">
        <f t="shared" ref="AZ161:AZ224" si="115">AX161*AB161</f>
        <v>1.1166666666666667</v>
      </c>
      <c r="BA161" s="398">
        <f t="shared" ref="BA161:BA224" si="116">AX161*AC161</f>
        <v>0.16501650165016502</v>
      </c>
      <c r="BB161" s="398">
        <f t="shared" ref="BB161:BB224" si="117">AX161*AD161</f>
        <v>6.0246911111111107E-2</v>
      </c>
      <c r="BC161" s="15"/>
      <c r="BD161" s="14">
        <f t="shared" ref="BD161:BD224" si="118">Z161</f>
        <v>0.25</v>
      </c>
      <c r="BE161" s="645" t="s">
        <v>100</v>
      </c>
      <c r="BF161" s="681">
        <f>3/3</f>
        <v>1</v>
      </c>
      <c r="BG161" s="674" t="s">
        <v>1223</v>
      </c>
      <c r="BH161" s="674" t="s">
        <v>1224</v>
      </c>
      <c r="BI161" s="658" t="str">
        <f t="shared" si="93"/>
        <v>ALTO</v>
      </c>
      <c r="BJ161" s="681">
        <f t="shared" ref="BJ161:BJ224" si="119">BD161*BF161</f>
        <v>0.25</v>
      </c>
      <c r="BK161" s="647" t="s">
        <v>1225</v>
      </c>
      <c r="BL161" s="682">
        <f t="shared" si="94"/>
        <v>3.7313432835820892E-2</v>
      </c>
      <c r="BM161" s="682">
        <f t="shared" si="95"/>
        <v>0.2525</v>
      </c>
      <c r="BN161" s="682">
        <f t="shared" si="96"/>
        <v>0.69159838899993398</v>
      </c>
      <c r="BO161" s="658"/>
      <c r="BP161" s="853">
        <f t="shared" si="107"/>
        <v>0.25</v>
      </c>
      <c r="BQ161" s="854" t="s">
        <v>105</v>
      </c>
      <c r="BR161" s="873">
        <f>100/100</f>
        <v>1</v>
      </c>
      <c r="BS161" s="874" t="s">
        <v>1226</v>
      </c>
      <c r="BT161" s="896" t="s">
        <v>1227</v>
      </c>
      <c r="BU161" s="905" t="str">
        <f t="shared" ref="BU161:BU224" si="120">+IF(AND(BR161&gt;=0%,BR161&lt;=60%),"BAJO",IF(AND(BR161&gt;=61%,BR161&lt;=80%),"MEDIO","ALTO"))</f>
        <v>ALTO</v>
      </c>
      <c r="BV161" s="875">
        <f t="shared" si="104"/>
        <v>0.25</v>
      </c>
      <c r="BW161" s="859" t="s">
        <v>1212</v>
      </c>
      <c r="BX161" s="857">
        <f t="shared" si="97"/>
        <v>1.675</v>
      </c>
      <c r="BY161" s="857">
        <f t="shared" si="98"/>
        <v>0.24752475247524752</v>
      </c>
      <c r="BZ161" s="857">
        <f t="shared" si="99"/>
        <v>9.037036666666666E-2</v>
      </c>
      <c r="CA161" s="857">
        <f t="shared" si="100"/>
        <v>9.4318181818181815E-2</v>
      </c>
      <c r="CB161" s="16">
        <f t="shared" si="101"/>
        <v>0.5</v>
      </c>
      <c r="CC161" s="16">
        <f t="shared" si="102"/>
        <v>0.5</v>
      </c>
      <c r="CD161" s="16">
        <f t="shared" si="105"/>
        <v>1</v>
      </c>
      <c r="CE161" s="16">
        <f t="shared" si="106"/>
        <v>0.79166666666666663</v>
      </c>
      <c r="CF161" s="16" t="e">
        <f>SUM(#REF!/(CC161+CB161))</f>
        <v>#REF!</v>
      </c>
      <c r="CG161" s="17"/>
      <c r="CH161" s="17"/>
      <c r="CI161" s="17"/>
      <c r="CJ161" s="17"/>
      <c r="CV161" s="346">
        <f t="shared" si="103"/>
        <v>1</v>
      </c>
    </row>
    <row r="162" spans="1:100" s="1" customFormat="1" ht="79.5" customHeight="1" x14ac:dyDescent="0.25">
      <c r="A162" s="354" t="s">
        <v>79</v>
      </c>
      <c r="B162" s="354" t="s">
        <v>80</v>
      </c>
      <c r="C162" s="354" t="s">
        <v>81</v>
      </c>
      <c r="D162" s="354" t="s">
        <v>82</v>
      </c>
      <c r="E162" s="354" t="s">
        <v>83</v>
      </c>
      <c r="F162" s="354" t="s">
        <v>84</v>
      </c>
      <c r="G162" s="354" t="s">
        <v>85</v>
      </c>
      <c r="H162" s="354" t="s">
        <v>86</v>
      </c>
      <c r="I162" s="354" t="s">
        <v>87</v>
      </c>
      <c r="J162" s="354" t="s">
        <v>152</v>
      </c>
      <c r="K162" s="348" t="s">
        <v>5</v>
      </c>
      <c r="L162" s="348" t="s">
        <v>539</v>
      </c>
      <c r="M162" s="686" t="s">
        <v>1228</v>
      </c>
      <c r="N162" s="361" t="s">
        <v>1201</v>
      </c>
      <c r="O162" s="361" t="s">
        <v>1202</v>
      </c>
      <c r="P162" s="922">
        <v>39542136.277533107</v>
      </c>
      <c r="Q162" s="482" t="s">
        <v>543</v>
      </c>
      <c r="R162" s="476" t="s">
        <v>213</v>
      </c>
      <c r="S162" s="392">
        <v>4</v>
      </c>
      <c r="T162" s="393" t="s">
        <v>1229</v>
      </c>
      <c r="U162" s="393" t="s">
        <v>1215</v>
      </c>
      <c r="V162" s="393" t="s">
        <v>119</v>
      </c>
      <c r="W162" s="508" t="s">
        <v>1230</v>
      </c>
      <c r="X162" s="430">
        <v>0.25</v>
      </c>
      <c r="Y162" s="430">
        <v>0.25</v>
      </c>
      <c r="Z162" s="430">
        <v>0.25</v>
      </c>
      <c r="AA162" s="431">
        <v>0.25</v>
      </c>
      <c r="AB162" s="525">
        <v>6.67</v>
      </c>
      <c r="AC162" s="413">
        <v>0.99009900990099009</v>
      </c>
      <c r="AD162" s="413">
        <v>0.36148146666666664</v>
      </c>
      <c r="AE162" s="413">
        <v>0.37727272727272726</v>
      </c>
      <c r="AF162" s="692">
        <f t="shared" si="91"/>
        <v>0.25</v>
      </c>
      <c r="AG162" s="693" t="s">
        <v>100</v>
      </c>
      <c r="AH162" s="698">
        <f>0/1</f>
        <v>0</v>
      </c>
      <c r="AI162" s="697" t="s">
        <v>1231</v>
      </c>
      <c r="AJ162" s="697"/>
      <c r="AK162" s="693" t="str">
        <f t="shared" si="108"/>
        <v>BAJO</v>
      </c>
      <c r="AL162" s="692">
        <f t="shared" si="109"/>
        <v>0</v>
      </c>
      <c r="AM162" s="695" t="s">
        <v>1232</v>
      </c>
      <c r="AN162" s="693">
        <f t="shared" si="110"/>
        <v>0</v>
      </c>
      <c r="AO162" s="693">
        <f t="shared" si="111"/>
        <v>0</v>
      </c>
      <c r="AP162" s="693">
        <f t="shared" si="112"/>
        <v>0</v>
      </c>
      <c r="AQ162" s="693"/>
      <c r="AR162" s="401">
        <f t="shared" si="92"/>
        <v>0.25</v>
      </c>
      <c r="AS162" s="402" t="s">
        <v>100</v>
      </c>
      <c r="AT162" s="408">
        <f>1/1</f>
        <v>1</v>
      </c>
      <c r="AU162" s="406" t="s">
        <v>1233</v>
      </c>
      <c r="AV162" s="406" t="s">
        <v>1234</v>
      </c>
      <c r="AW162" s="729" t="str">
        <f t="shared" si="113"/>
        <v>ALTO</v>
      </c>
      <c r="AX162" s="397">
        <f t="shared" si="114"/>
        <v>0.25</v>
      </c>
      <c r="AY162" s="400" t="s">
        <v>1235</v>
      </c>
      <c r="AZ162" s="398">
        <f t="shared" si="115"/>
        <v>1.6675</v>
      </c>
      <c r="BA162" s="398">
        <f t="shared" si="116"/>
        <v>0.24752475247524752</v>
      </c>
      <c r="BB162" s="398">
        <f t="shared" si="117"/>
        <v>9.037036666666666E-2</v>
      </c>
      <c r="BC162" s="15"/>
      <c r="BD162" s="14">
        <f t="shared" si="118"/>
        <v>0.25</v>
      </c>
      <c r="BE162" s="645" t="s">
        <v>100</v>
      </c>
      <c r="BF162" s="681">
        <v>1</v>
      </c>
      <c r="BG162" s="674" t="s">
        <v>1236</v>
      </c>
      <c r="BH162" s="674" t="s">
        <v>1237</v>
      </c>
      <c r="BI162" s="658" t="str">
        <f t="shared" si="93"/>
        <v>ALTO</v>
      </c>
      <c r="BJ162" s="681">
        <f t="shared" si="119"/>
        <v>0.25</v>
      </c>
      <c r="BK162" s="647" t="s">
        <v>1238</v>
      </c>
      <c r="BL162" s="682">
        <f t="shared" si="94"/>
        <v>3.7481259370314844E-2</v>
      </c>
      <c r="BM162" s="682">
        <f t="shared" si="95"/>
        <v>0.2525</v>
      </c>
      <c r="BN162" s="682">
        <f t="shared" si="96"/>
        <v>0.69159838899993398</v>
      </c>
      <c r="BO162" s="658"/>
      <c r="BP162" s="853">
        <f t="shared" si="107"/>
        <v>0.25</v>
      </c>
      <c r="BQ162" s="854" t="s">
        <v>105</v>
      </c>
      <c r="BR162" s="894">
        <v>1</v>
      </c>
      <c r="BS162" s="890" t="s">
        <v>1239</v>
      </c>
      <c r="BT162" s="890" t="s">
        <v>1240</v>
      </c>
      <c r="BU162" s="905" t="str">
        <f t="shared" si="120"/>
        <v>ALTO</v>
      </c>
      <c r="BV162" s="875">
        <f t="shared" si="104"/>
        <v>0.25</v>
      </c>
      <c r="BW162" s="859" t="s">
        <v>1241</v>
      </c>
      <c r="BX162" s="857">
        <f t="shared" si="97"/>
        <v>1.6675</v>
      </c>
      <c r="BY162" s="857">
        <f t="shared" si="98"/>
        <v>0.24752475247524752</v>
      </c>
      <c r="BZ162" s="857">
        <f t="shared" si="99"/>
        <v>9.037036666666666E-2</v>
      </c>
      <c r="CA162" s="857">
        <f t="shared" si="100"/>
        <v>9.4318181818181815E-2</v>
      </c>
      <c r="CB162" s="16">
        <f t="shared" si="101"/>
        <v>0.5</v>
      </c>
      <c r="CC162" s="16">
        <f t="shared" si="102"/>
        <v>0.5</v>
      </c>
      <c r="CD162" s="16">
        <f t="shared" si="105"/>
        <v>1</v>
      </c>
      <c r="CE162" s="16">
        <f t="shared" si="106"/>
        <v>0.75</v>
      </c>
      <c r="CF162" s="16" t="e">
        <f>SUM(#REF!/(CC162+CB162))</f>
        <v>#REF!</v>
      </c>
      <c r="CG162" s="17"/>
      <c r="CH162" s="17"/>
      <c r="CI162" s="17"/>
      <c r="CJ162" s="17"/>
      <c r="CV162" s="346">
        <f t="shared" si="103"/>
        <v>1</v>
      </c>
    </row>
    <row r="163" spans="1:100" s="3" customFormat="1" ht="65.099999999999994" customHeight="1" x14ac:dyDescent="0.25">
      <c r="A163" s="354" t="s">
        <v>79</v>
      </c>
      <c r="B163" s="354" t="s">
        <v>80</v>
      </c>
      <c r="C163" s="354" t="s">
        <v>81</v>
      </c>
      <c r="D163" s="354" t="s">
        <v>82</v>
      </c>
      <c r="E163" s="354" t="s">
        <v>83</v>
      </c>
      <c r="F163" s="354" t="s">
        <v>84</v>
      </c>
      <c r="G163" s="354" t="s">
        <v>85</v>
      </c>
      <c r="H163" s="354" t="s">
        <v>86</v>
      </c>
      <c r="I163" s="354" t="s">
        <v>87</v>
      </c>
      <c r="J163" s="354" t="s">
        <v>152</v>
      </c>
      <c r="K163" s="348" t="s">
        <v>5</v>
      </c>
      <c r="L163" s="348" t="s">
        <v>539</v>
      </c>
      <c r="M163" s="686" t="s">
        <v>1242</v>
      </c>
      <c r="N163" s="361" t="s">
        <v>1201</v>
      </c>
      <c r="O163" s="361" t="s">
        <v>1202</v>
      </c>
      <c r="P163" s="922">
        <v>39542136.277533107</v>
      </c>
      <c r="Q163" s="482" t="s">
        <v>543</v>
      </c>
      <c r="R163" s="476" t="s">
        <v>213</v>
      </c>
      <c r="S163" s="392">
        <v>4</v>
      </c>
      <c r="T163" s="393" t="s">
        <v>1243</v>
      </c>
      <c r="U163" s="393" t="s">
        <v>1215</v>
      </c>
      <c r="V163" s="393" t="s">
        <v>119</v>
      </c>
      <c r="W163" s="508" t="s">
        <v>1244</v>
      </c>
      <c r="X163" s="430">
        <v>0.25</v>
      </c>
      <c r="Y163" s="430">
        <v>0.25</v>
      </c>
      <c r="Z163" s="430">
        <v>0.25</v>
      </c>
      <c r="AA163" s="431">
        <v>0.25</v>
      </c>
      <c r="AB163" s="525">
        <v>6.67</v>
      </c>
      <c r="AC163" s="413">
        <v>0.99009900990099009</v>
      </c>
      <c r="AD163" s="413">
        <v>0.36148146666666664</v>
      </c>
      <c r="AE163" s="413">
        <v>0.37727272727272726</v>
      </c>
      <c r="AF163" s="692">
        <f t="shared" si="91"/>
        <v>0.25</v>
      </c>
      <c r="AG163" s="693" t="s">
        <v>100</v>
      </c>
      <c r="AH163" s="698">
        <f>1/2</f>
        <v>0.5</v>
      </c>
      <c r="AI163" s="697" t="s">
        <v>1245</v>
      </c>
      <c r="AJ163" s="696"/>
      <c r="AK163" s="693" t="str">
        <f t="shared" si="108"/>
        <v>BAJO</v>
      </c>
      <c r="AL163" s="692">
        <f t="shared" si="109"/>
        <v>0.125</v>
      </c>
      <c r="AM163" s="695" t="s">
        <v>1246</v>
      </c>
      <c r="AN163" s="693">
        <f t="shared" si="110"/>
        <v>0.83374999999999999</v>
      </c>
      <c r="AO163" s="693">
        <f t="shared" si="111"/>
        <v>0.12376237623762376</v>
      </c>
      <c r="AP163" s="693">
        <f t="shared" si="112"/>
        <v>4.518518333333333E-2</v>
      </c>
      <c r="AQ163" s="696"/>
      <c r="AR163" s="401">
        <f t="shared" si="92"/>
        <v>0.25</v>
      </c>
      <c r="AS163" s="402" t="s">
        <v>100</v>
      </c>
      <c r="AT163" s="405">
        <f>1/1</f>
        <v>1</v>
      </c>
      <c r="AU163" s="406" t="s">
        <v>1247</v>
      </c>
      <c r="AV163" s="406" t="s">
        <v>1248</v>
      </c>
      <c r="AW163" s="729" t="str">
        <f t="shared" si="113"/>
        <v>ALTO</v>
      </c>
      <c r="AX163" s="397">
        <f t="shared" si="114"/>
        <v>0.25</v>
      </c>
      <c r="AY163" s="400" t="s">
        <v>1249</v>
      </c>
      <c r="AZ163" s="398">
        <f t="shared" si="115"/>
        <v>1.6675</v>
      </c>
      <c r="BA163" s="398">
        <f t="shared" si="116"/>
        <v>0.24752475247524752</v>
      </c>
      <c r="BB163" s="398">
        <f t="shared" si="117"/>
        <v>9.037036666666666E-2</v>
      </c>
      <c r="BC163" s="18"/>
      <c r="BD163" s="14">
        <f t="shared" si="118"/>
        <v>0.25</v>
      </c>
      <c r="BE163" s="645" t="s">
        <v>100</v>
      </c>
      <c r="BF163" s="681">
        <v>1</v>
      </c>
      <c r="BG163" s="674" t="s">
        <v>1250</v>
      </c>
      <c r="BH163" s="674" t="s">
        <v>1251</v>
      </c>
      <c r="BI163" s="658" t="str">
        <f t="shared" si="93"/>
        <v>ALTO</v>
      </c>
      <c r="BJ163" s="681">
        <f t="shared" si="119"/>
        <v>0.25</v>
      </c>
      <c r="BK163" s="680" t="s">
        <v>1252</v>
      </c>
      <c r="BL163" s="682">
        <f t="shared" si="94"/>
        <v>3.7481259370314844E-2</v>
      </c>
      <c r="BM163" s="682">
        <f t="shared" si="95"/>
        <v>0.2525</v>
      </c>
      <c r="BN163" s="682">
        <f t="shared" si="96"/>
        <v>0.69159838899993398</v>
      </c>
      <c r="BO163" s="754"/>
      <c r="BP163" s="853">
        <f t="shared" si="107"/>
        <v>0.25</v>
      </c>
      <c r="BQ163" s="854" t="s">
        <v>105</v>
      </c>
      <c r="BR163" s="894">
        <v>1</v>
      </c>
      <c r="BS163" s="890" t="s">
        <v>1239</v>
      </c>
      <c r="BT163" s="890" t="s">
        <v>1240</v>
      </c>
      <c r="BU163" s="905" t="str">
        <f t="shared" si="120"/>
        <v>ALTO</v>
      </c>
      <c r="BV163" s="875">
        <f t="shared" si="104"/>
        <v>0.25</v>
      </c>
      <c r="BW163" s="859" t="s">
        <v>1253</v>
      </c>
      <c r="BX163" s="857">
        <f t="shared" si="97"/>
        <v>1.6675</v>
      </c>
      <c r="BY163" s="857">
        <f t="shared" si="98"/>
        <v>0.24752475247524752</v>
      </c>
      <c r="BZ163" s="857">
        <f t="shared" si="99"/>
        <v>9.037036666666666E-2</v>
      </c>
      <c r="CA163" s="857">
        <f t="shared" si="100"/>
        <v>9.4318181818181815E-2</v>
      </c>
      <c r="CB163" s="16">
        <f t="shared" si="101"/>
        <v>0.5</v>
      </c>
      <c r="CC163" s="16">
        <f t="shared" si="102"/>
        <v>0.5</v>
      </c>
      <c r="CD163" s="16">
        <f t="shared" si="105"/>
        <v>1</v>
      </c>
      <c r="CE163" s="16">
        <f t="shared" si="106"/>
        <v>0.875</v>
      </c>
      <c r="CF163" s="16" t="e">
        <f>SUM(#REF!/(CC163+CB163))</f>
        <v>#REF!</v>
      </c>
      <c r="CG163" s="19"/>
      <c r="CH163" s="19"/>
      <c r="CI163" s="19"/>
      <c r="CJ163" s="19"/>
      <c r="CV163" s="346">
        <f t="shared" si="103"/>
        <v>1</v>
      </c>
    </row>
    <row r="164" spans="1:100" s="1" customFormat="1" ht="65.099999999999994" customHeight="1" x14ac:dyDescent="0.25">
      <c r="A164" s="354" t="s">
        <v>79</v>
      </c>
      <c r="B164" s="354" t="s">
        <v>80</v>
      </c>
      <c r="C164" s="354" t="s">
        <v>81</v>
      </c>
      <c r="D164" s="354" t="s">
        <v>82</v>
      </c>
      <c r="E164" s="354" t="s">
        <v>83</v>
      </c>
      <c r="F164" s="354" t="s">
        <v>84</v>
      </c>
      <c r="G164" s="354" t="s">
        <v>85</v>
      </c>
      <c r="H164" s="348" t="s">
        <v>86</v>
      </c>
      <c r="I164" s="348" t="s">
        <v>87</v>
      </c>
      <c r="J164" s="348" t="s">
        <v>88</v>
      </c>
      <c r="K164" s="348" t="s">
        <v>5</v>
      </c>
      <c r="L164" s="348" t="s">
        <v>539</v>
      </c>
      <c r="M164" s="686" t="s">
        <v>1254</v>
      </c>
      <c r="N164" s="361" t="s">
        <v>1201</v>
      </c>
      <c r="O164" s="361" t="s">
        <v>1202</v>
      </c>
      <c r="P164" s="922">
        <v>39542136.277533107</v>
      </c>
      <c r="Q164" s="482" t="s">
        <v>543</v>
      </c>
      <c r="R164" s="476" t="s">
        <v>213</v>
      </c>
      <c r="S164" s="392">
        <v>103</v>
      </c>
      <c r="T164" s="393" t="s">
        <v>1255</v>
      </c>
      <c r="U164" s="393" t="s">
        <v>1215</v>
      </c>
      <c r="V164" s="393" t="s">
        <v>119</v>
      </c>
      <c r="W164" s="507" t="s">
        <v>1256</v>
      </c>
      <c r="X164" s="430">
        <v>0.2</v>
      </c>
      <c r="Y164" s="430">
        <v>0.3</v>
      </c>
      <c r="Z164" s="430">
        <v>0.25</v>
      </c>
      <c r="AA164" s="431">
        <v>0.25</v>
      </c>
      <c r="AB164" s="525">
        <v>6.66</v>
      </c>
      <c r="AC164" s="413">
        <v>0.99009900990099009</v>
      </c>
      <c r="AD164" s="413">
        <v>0.36148146666666664</v>
      </c>
      <c r="AE164" s="413">
        <v>0.37727272727272726</v>
      </c>
      <c r="AF164" s="692">
        <f t="shared" si="91"/>
        <v>0.2</v>
      </c>
      <c r="AG164" s="693" t="s">
        <v>100</v>
      </c>
      <c r="AH164" s="694">
        <f>1/21</f>
        <v>4.7619047619047616E-2</v>
      </c>
      <c r="AI164" s="695" t="s">
        <v>1257</v>
      </c>
      <c r="AJ164" s="693"/>
      <c r="AK164" s="693" t="str">
        <f t="shared" si="108"/>
        <v>BAJO</v>
      </c>
      <c r="AL164" s="692">
        <f t="shared" si="109"/>
        <v>9.5238095238095247E-3</v>
      </c>
      <c r="AM164" s="695" t="s">
        <v>1258</v>
      </c>
      <c r="AN164" s="693">
        <f t="shared" si="110"/>
        <v>6.3428571428571431E-2</v>
      </c>
      <c r="AO164" s="693">
        <f t="shared" si="111"/>
        <v>9.4295143800094301E-3</v>
      </c>
      <c r="AP164" s="693">
        <f t="shared" si="112"/>
        <v>3.4426806349206348E-3</v>
      </c>
      <c r="AQ164" s="693"/>
      <c r="AR164" s="401">
        <f t="shared" si="92"/>
        <v>0.3</v>
      </c>
      <c r="AS164" s="402" t="s">
        <v>100</v>
      </c>
      <c r="AT164" s="405">
        <f>15/30</f>
        <v>0.5</v>
      </c>
      <c r="AU164" s="406" t="s">
        <v>1259</v>
      </c>
      <c r="AV164" s="406" t="s">
        <v>1260</v>
      </c>
      <c r="AW164" s="729" t="str">
        <f t="shared" si="113"/>
        <v>BAJO</v>
      </c>
      <c r="AX164" s="397">
        <f t="shared" si="114"/>
        <v>0.15</v>
      </c>
      <c r="AY164" s="400" t="s">
        <v>1261</v>
      </c>
      <c r="AZ164" s="398">
        <f t="shared" si="115"/>
        <v>0.999</v>
      </c>
      <c r="BA164" s="398">
        <f t="shared" si="116"/>
        <v>0.14851485148514851</v>
      </c>
      <c r="BB164" s="398">
        <f t="shared" si="117"/>
        <v>5.4222219999999995E-2</v>
      </c>
      <c r="BC164" s="15"/>
      <c r="BD164" s="14">
        <f t="shared" si="118"/>
        <v>0.25</v>
      </c>
      <c r="BE164" s="645" t="s">
        <v>100</v>
      </c>
      <c r="BF164" s="681">
        <f>14/26</f>
        <v>0.53846153846153844</v>
      </c>
      <c r="BG164" s="674" t="s">
        <v>1262</v>
      </c>
      <c r="BH164" s="674" t="s">
        <v>1263</v>
      </c>
      <c r="BI164" s="658" t="str">
        <f t="shared" si="93"/>
        <v>BAJO</v>
      </c>
      <c r="BJ164" s="681">
        <f t="shared" si="119"/>
        <v>0.13461538461538461</v>
      </c>
      <c r="BK164" s="647" t="s">
        <v>1264</v>
      </c>
      <c r="BL164" s="682">
        <f t="shared" si="94"/>
        <v>2.0212520212520211E-2</v>
      </c>
      <c r="BM164" s="682">
        <f t="shared" si="95"/>
        <v>0.13596153846153847</v>
      </c>
      <c r="BN164" s="682">
        <f t="shared" si="96"/>
        <v>0.37239913253842599</v>
      </c>
      <c r="BO164" s="658"/>
      <c r="BP164" s="853">
        <f t="shared" si="107"/>
        <v>0.25</v>
      </c>
      <c r="BQ164" s="854" t="s">
        <v>105</v>
      </c>
      <c r="BR164" s="894">
        <f>15/26</f>
        <v>0.57692307692307687</v>
      </c>
      <c r="BS164" s="890" t="s">
        <v>1265</v>
      </c>
      <c r="BT164" s="890" t="s">
        <v>1266</v>
      </c>
      <c r="BU164" s="907" t="str">
        <f t="shared" si="120"/>
        <v>BAJO</v>
      </c>
      <c r="BV164" s="875">
        <f t="shared" si="104"/>
        <v>0.14423076923076922</v>
      </c>
      <c r="BW164" s="859" t="s">
        <v>1267</v>
      </c>
      <c r="BX164" s="857">
        <f t="shared" si="97"/>
        <v>0.96057692307692299</v>
      </c>
      <c r="BY164" s="857">
        <f t="shared" si="98"/>
        <v>0.1428027418126428</v>
      </c>
      <c r="BZ164" s="857">
        <f t="shared" si="99"/>
        <v>5.2136749999999989E-2</v>
      </c>
      <c r="CA164" s="857">
        <f t="shared" si="100"/>
        <v>5.4414335664335657E-2</v>
      </c>
      <c r="CB164" s="16">
        <f t="shared" si="101"/>
        <v>0.5</v>
      </c>
      <c r="CC164" s="16">
        <f t="shared" si="102"/>
        <v>0.5</v>
      </c>
      <c r="CD164" s="16">
        <f t="shared" si="105"/>
        <v>1</v>
      </c>
      <c r="CE164" s="16">
        <f t="shared" si="106"/>
        <v>0.43836996336996331</v>
      </c>
      <c r="CF164" s="16" t="e">
        <f>SUM(#REF!/(CC164+CB164))</f>
        <v>#REF!</v>
      </c>
      <c r="CG164" s="17"/>
      <c r="CH164" s="17"/>
      <c r="CI164" s="17"/>
      <c r="CJ164" s="17"/>
      <c r="CV164" s="346">
        <f t="shared" si="103"/>
        <v>1</v>
      </c>
    </row>
    <row r="165" spans="1:100" s="1" customFormat="1" ht="203.25" customHeight="1" x14ac:dyDescent="0.25">
      <c r="A165" s="354" t="s">
        <v>79</v>
      </c>
      <c r="B165" s="354" t="s">
        <v>80</v>
      </c>
      <c r="C165" s="354" t="s">
        <v>81</v>
      </c>
      <c r="D165" s="354" t="s">
        <v>82</v>
      </c>
      <c r="E165" s="354" t="s">
        <v>83</v>
      </c>
      <c r="F165" s="354" t="s">
        <v>84</v>
      </c>
      <c r="G165" s="354" t="s">
        <v>85</v>
      </c>
      <c r="H165" s="348" t="s">
        <v>86</v>
      </c>
      <c r="I165" s="348" t="s">
        <v>87</v>
      </c>
      <c r="J165" s="348" t="s">
        <v>88</v>
      </c>
      <c r="K165" s="348" t="s">
        <v>5</v>
      </c>
      <c r="L165" s="348" t="s">
        <v>539</v>
      </c>
      <c r="M165" s="686" t="s">
        <v>1268</v>
      </c>
      <c r="N165" s="361" t="s">
        <v>1201</v>
      </c>
      <c r="O165" s="361" t="s">
        <v>1202</v>
      </c>
      <c r="P165" s="922">
        <v>39542136.277533107</v>
      </c>
      <c r="Q165" s="482" t="s">
        <v>543</v>
      </c>
      <c r="R165" s="476" t="s">
        <v>213</v>
      </c>
      <c r="S165" s="392">
        <v>53</v>
      </c>
      <c r="T165" s="393" t="s">
        <v>1269</v>
      </c>
      <c r="U165" s="393" t="s">
        <v>1215</v>
      </c>
      <c r="V165" s="393" t="s">
        <v>119</v>
      </c>
      <c r="W165" s="507" t="s">
        <v>1270</v>
      </c>
      <c r="X165" s="430">
        <v>0.08</v>
      </c>
      <c r="Y165" s="430">
        <v>0.32</v>
      </c>
      <c r="Z165" s="430">
        <v>0.25</v>
      </c>
      <c r="AA165" s="431">
        <v>0.35</v>
      </c>
      <c r="AB165" s="525">
        <v>6.66</v>
      </c>
      <c r="AC165" s="413">
        <v>0.99009900990099009</v>
      </c>
      <c r="AD165" s="413">
        <v>0.36148146666666664</v>
      </c>
      <c r="AE165" s="413">
        <v>0.37727272727272726</v>
      </c>
      <c r="AF165" s="692">
        <f t="shared" si="91"/>
        <v>0.08</v>
      </c>
      <c r="AG165" s="693" t="s">
        <v>100</v>
      </c>
      <c r="AH165" s="694">
        <f>2/4</f>
        <v>0.5</v>
      </c>
      <c r="AI165" s="695" t="s">
        <v>1271</v>
      </c>
      <c r="AJ165" s="697" t="s">
        <v>1272</v>
      </c>
      <c r="AK165" s="693" t="str">
        <f t="shared" si="108"/>
        <v>BAJO</v>
      </c>
      <c r="AL165" s="692">
        <f t="shared" si="109"/>
        <v>0.04</v>
      </c>
      <c r="AM165" s="695" t="s">
        <v>1273</v>
      </c>
      <c r="AN165" s="693">
        <f t="shared" si="110"/>
        <v>0.26640000000000003</v>
      </c>
      <c r="AO165" s="693">
        <f t="shared" si="111"/>
        <v>3.9603960396039604E-2</v>
      </c>
      <c r="AP165" s="693">
        <f t="shared" si="112"/>
        <v>1.4459258666666665E-2</v>
      </c>
      <c r="AQ165" s="693"/>
      <c r="AR165" s="401">
        <f t="shared" si="92"/>
        <v>0.32</v>
      </c>
      <c r="AS165" s="402" t="s">
        <v>100</v>
      </c>
      <c r="AT165" s="405">
        <f>5/17</f>
        <v>0.29411764705882354</v>
      </c>
      <c r="AU165" s="406" t="s">
        <v>1274</v>
      </c>
      <c r="AV165" s="406" t="s">
        <v>1275</v>
      </c>
      <c r="AW165" s="729" t="str">
        <f t="shared" si="113"/>
        <v>BAJO</v>
      </c>
      <c r="AX165" s="397">
        <f t="shared" si="114"/>
        <v>9.4117647058823528E-2</v>
      </c>
      <c r="AY165" s="400" t="s">
        <v>1276</v>
      </c>
      <c r="AZ165" s="398">
        <f t="shared" si="115"/>
        <v>0.62682352941176467</v>
      </c>
      <c r="BA165" s="398">
        <f t="shared" si="116"/>
        <v>9.3185789167152006E-2</v>
      </c>
      <c r="BB165" s="398">
        <f t="shared" si="117"/>
        <v>3.4021785098039214E-2</v>
      </c>
      <c r="BC165" s="15"/>
      <c r="BD165" s="14">
        <f t="shared" si="118"/>
        <v>0.25</v>
      </c>
      <c r="BE165" s="645" t="s">
        <v>100</v>
      </c>
      <c r="BF165" s="681">
        <f>11/13</f>
        <v>0.84615384615384615</v>
      </c>
      <c r="BG165" s="674" t="s">
        <v>1277</v>
      </c>
      <c r="BH165" s="674" t="s">
        <v>1278</v>
      </c>
      <c r="BI165" s="658" t="str">
        <f t="shared" si="93"/>
        <v>ALTO</v>
      </c>
      <c r="BJ165" s="681">
        <f t="shared" si="119"/>
        <v>0.21153846153846154</v>
      </c>
      <c r="BK165" s="647" t="s">
        <v>1279</v>
      </c>
      <c r="BL165" s="682">
        <f t="shared" si="94"/>
        <v>3.1762531762531764E-2</v>
      </c>
      <c r="BM165" s="682">
        <f t="shared" si="95"/>
        <v>0.21365384615384617</v>
      </c>
      <c r="BN165" s="682">
        <f t="shared" si="96"/>
        <v>0.58519863684609796</v>
      </c>
      <c r="BO165" s="658"/>
      <c r="BP165" s="853">
        <f t="shared" si="107"/>
        <v>0.35</v>
      </c>
      <c r="BQ165" s="854" t="s">
        <v>105</v>
      </c>
      <c r="BR165" s="894">
        <f>4/19</f>
        <v>0.21052631578947367</v>
      </c>
      <c r="BS165" s="890" t="s">
        <v>1280</v>
      </c>
      <c r="BT165" s="890" t="s">
        <v>1278</v>
      </c>
      <c r="BU165" s="907" t="str">
        <f t="shared" si="120"/>
        <v>BAJO</v>
      </c>
      <c r="BV165" s="875">
        <f t="shared" si="104"/>
        <v>7.3684210526315783E-2</v>
      </c>
      <c r="BW165" s="859" t="s">
        <v>1281</v>
      </c>
      <c r="BX165" s="857">
        <f t="shared" si="97"/>
        <v>0.49073684210526314</v>
      </c>
      <c r="BY165" s="857">
        <f t="shared" si="98"/>
        <v>7.2954663887441373E-2</v>
      </c>
      <c r="BZ165" s="857">
        <f t="shared" si="99"/>
        <v>2.6635476491228067E-2</v>
      </c>
      <c r="CA165" s="857">
        <f t="shared" si="100"/>
        <v>2.7799043062200952E-2</v>
      </c>
      <c r="CB165" s="16">
        <f t="shared" si="101"/>
        <v>0.6</v>
      </c>
      <c r="CC165" s="16">
        <f t="shared" si="102"/>
        <v>0.4</v>
      </c>
      <c r="CD165" s="16">
        <f t="shared" si="105"/>
        <v>1</v>
      </c>
      <c r="CE165" s="16">
        <f t="shared" si="106"/>
        <v>0.41934031912360087</v>
      </c>
      <c r="CF165" s="16" t="e">
        <f>SUM(#REF!/(CC165+CB165))</f>
        <v>#REF!</v>
      </c>
      <c r="CG165" s="17"/>
      <c r="CH165" s="17"/>
      <c r="CI165" s="17"/>
      <c r="CJ165" s="17"/>
      <c r="CV165" s="346">
        <f t="shared" si="103"/>
        <v>1</v>
      </c>
    </row>
    <row r="166" spans="1:100" s="1" customFormat="1" ht="70.5" customHeight="1" x14ac:dyDescent="0.25">
      <c r="A166" s="354" t="s">
        <v>79</v>
      </c>
      <c r="B166" s="354" t="s">
        <v>80</v>
      </c>
      <c r="C166" s="354" t="s">
        <v>81</v>
      </c>
      <c r="D166" s="354" t="s">
        <v>82</v>
      </c>
      <c r="E166" s="354" t="s">
        <v>83</v>
      </c>
      <c r="F166" s="354" t="s">
        <v>84</v>
      </c>
      <c r="G166" s="354" t="s">
        <v>85</v>
      </c>
      <c r="H166" s="348" t="s">
        <v>86</v>
      </c>
      <c r="I166" s="348" t="s">
        <v>87</v>
      </c>
      <c r="J166" s="348" t="s">
        <v>88</v>
      </c>
      <c r="K166" s="348" t="s">
        <v>5</v>
      </c>
      <c r="L166" s="348" t="s">
        <v>539</v>
      </c>
      <c r="M166" s="686" t="s">
        <v>1282</v>
      </c>
      <c r="N166" s="361" t="s">
        <v>1201</v>
      </c>
      <c r="O166" s="361" t="s">
        <v>1202</v>
      </c>
      <c r="P166" s="922">
        <v>39542136.277533107</v>
      </c>
      <c r="Q166" s="482" t="s">
        <v>543</v>
      </c>
      <c r="R166" s="476" t="s">
        <v>213</v>
      </c>
      <c r="S166" s="392">
        <v>40</v>
      </c>
      <c r="T166" s="393" t="s">
        <v>1283</v>
      </c>
      <c r="U166" s="393" t="s">
        <v>1215</v>
      </c>
      <c r="V166" s="393" t="s">
        <v>119</v>
      </c>
      <c r="W166" s="507" t="s">
        <v>1284</v>
      </c>
      <c r="X166" s="430">
        <f>5/40</f>
        <v>0.125</v>
      </c>
      <c r="Y166" s="430">
        <f>11/40</f>
        <v>0.27500000000000002</v>
      </c>
      <c r="Z166" s="430">
        <f>17/40</f>
        <v>0.42499999999999999</v>
      </c>
      <c r="AA166" s="431">
        <f>7/40</f>
        <v>0.17499999999999999</v>
      </c>
      <c r="AB166" s="525">
        <v>6.66</v>
      </c>
      <c r="AC166" s="413">
        <v>0.99009900990099009</v>
      </c>
      <c r="AD166" s="413">
        <v>0.36148146666666664</v>
      </c>
      <c r="AE166" s="413">
        <v>0.37727272727272726</v>
      </c>
      <c r="AF166" s="692">
        <f t="shared" si="91"/>
        <v>0.125</v>
      </c>
      <c r="AG166" s="693" t="s">
        <v>100</v>
      </c>
      <c r="AH166" s="694">
        <f>5/5</f>
        <v>1</v>
      </c>
      <c r="AI166" s="695" t="s">
        <v>1285</v>
      </c>
      <c r="AJ166" s="693"/>
      <c r="AK166" s="693" t="str">
        <f t="shared" si="108"/>
        <v>ALTO</v>
      </c>
      <c r="AL166" s="692">
        <f t="shared" si="109"/>
        <v>0.125</v>
      </c>
      <c r="AM166" s="695" t="s">
        <v>1286</v>
      </c>
      <c r="AN166" s="693">
        <f t="shared" si="110"/>
        <v>0.83250000000000002</v>
      </c>
      <c r="AO166" s="693">
        <f t="shared" si="111"/>
        <v>0.12376237623762376</v>
      </c>
      <c r="AP166" s="693">
        <f t="shared" si="112"/>
        <v>4.518518333333333E-2</v>
      </c>
      <c r="AQ166" s="693"/>
      <c r="AR166" s="401">
        <f t="shared" si="92"/>
        <v>0.27500000000000002</v>
      </c>
      <c r="AS166" s="402" t="s">
        <v>100</v>
      </c>
      <c r="AT166" s="405">
        <f>10/11</f>
        <v>0.90909090909090906</v>
      </c>
      <c r="AU166" s="406" t="s">
        <v>1287</v>
      </c>
      <c r="AV166" s="406" t="s">
        <v>1288</v>
      </c>
      <c r="AW166" s="729" t="str">
        <f t="shared" si="113"/>
        <v>ALTO</v>
      </c>
      <c r="AX166" s="397">
        <f t="shared" si="114"/>
        <v>0.25</v>
      </c>
      <c r="AY166" s="400" t="s">
        <v>1289</v>
      </c>
      <c r="AZ166" s="398">
        <f t="shared" si="115"/>
        <v>1.665</v>
      </c>
      <c r="BA166" s="398">
        <f t="shared" si="116"/>
        <v>0.24752475247524752</v>
      </c>
      <c r="BB166" s="398">
        <f t="shared" si="117"/>
        <v>9.037036666666666E-2</v>
      </c>
      <c r="BC166" s="15"/>
      <c r="BD166" s="14">
        <f t="shared" si="118"/>
        <v>0.42499999999999999</v>
      </c>
      <c r="BE166" s="645" t="s">
        <v>100</v>
      </c>
      <c r="BF166" s="681">
        <f>19/24</f>
        <v>0.79166666666666663</v>
      </c>
      <c r="BG166" s="674" t="s">
        <v>1290</v>
      </c>
      <c r="BH166" s="674" t="s">
        <v>1291</v>
      </c>
      <c r="BI166" s="658" t="str">
        <f t="shared" si="93"/>
        <v>MEDIO</v>
      </c>
      <c r="BJ166" s="681">
        <f t="shared" si="119"/>
        <v>0.3364583333333333</v>
      </c>
      <c r="BK166" s="647" t="s">
        <v>1292</v>
      </c>
      <c r="BL166" s="682">
        <f t="shared" si="94"/>
        <v>5.0519269269269265E-2</v>
      </c>
      <c r="BM166" s="682">
        <f t="shared" si="95"/>
        <v>0.33982291666666664</v>
      </c>
      <c r="BN166" s="682">
        <f t="shared" si="96"/>
        <v>0.93077616519574446</v>
      </c>
      <c r="BO166" s="658"/>
      <c r="BP166" s="853">
        <f t="shared" si="107"/>
        <v>0.17499999999999999</v>
      </c>
      <c r="BQ166" s="854" t="s">
        <v>105</v>
      </c>
      <c r="BR166" s="894">
        <f>9/15</f>
        <v>0.6</v>
      </c>
      <c r="BS166" s="890" t="s">
        <v>1293</v>
      </c>
      <c r="BT166" s="890" t="s">
        <v>1294</v>
      </c>
      <c r="BU166" s="907" t="str">
        <f t="shared" si="120"/>
        <v>BAJO</v>
      </c>
      <c r="BV166" s="875">
        <f t="shared" si="104"/>
        <v>0.105</v>
      </c>
      <c r="BW166" s="859" t="s">
        <v>1295</v>
      </c>
      <c r="BX166" s="857">
        <f t="shared" si="97"/>
        <v>0.69930000000000003</v>
      </c>
      <c r="BY166" s="857">
        <f t="shared" si="98"/>
        <v>0.10396039603960396</v>
      </c>
      <c r="BZ166" s="857">
        <f t="shared" si="99"/>
        <v>3.7955553999999996E-2</v>
      </c>
      <c r="CA166" s="857">
        <f t="shared" si="100"/>
        <v>3.9613636363636358E-2</v>
      </c>
      <c r="CB166" s="16">
        <f t="shared" si="101"/>
        <v>0.6</v>
      </c>
      <c r="CC166" s="16">
        <f t="shared" si="102"/>
        <v>0.4</v>
      </c>
      <c r="CD166" s="16">
        <f t="shared" si="105"/>
        <v>1</v>
      </c>
      <c r="CE166" s="16">
        <f t="shared" si="106"/>
        <v>0.81645833333333329</v>
      </c>
      <c r="CF166" s="16" t="e">
        <f>SUM(#REF!/(CC166+CB166))</f>
        <v>#REF!</v>
      </c>
      <c r="CG166" s="17"/>
      <c r="CH166" s="17"/>
      <c r="CI166" s="17"/>
      <c r="CJ166" s="17"/>
      <c r="CV166" s="346">
        <f t="shared" si="103"/>
        <v>1</v>
      </c>
    </row>
    <row r="167" spans="1:100" s="1" customFormat="1" ht="175.5" customHeight="1" x14ac:dyDescent="0.25">
      <c r="A167" s="354" t="s">
        <v>79</v>
      </c>
      <c r="B167" s="354" t="s">
        <v>80</v>
      </c>
      <c r="C167" s="354" t="s">
        <v>81</v>
      </c>
      <c r="D167" s="354" t="s">
        <v>82</v>
      </c>
      <c r="E167" s="354" t="s">
        <v>83</v>
      </c>
      <c r="F167" s="354" t="s">
        <v>84</v>
      </c>
      <c r="G167" s="354" t="s">
        <v>85</v>
      </c>
      <c r="H167" s="348" t="s">
        <v>86</v>
      </c>
      <c r="I167" s="348" t="s">
        <v>87</v>
      </c>
      <c r="J167" s="348" t="s">
        <v>88</v>
      </c>
      <c r="K167" s="348" t="s">
        <v>5</v>
      </c>
      <c r="L167" s="348" t="s">
        <v>539</v>
      </c>
      <c r="M167" s="686" t="s">
        <v>1296</v>
      </c>
      <c r="N167" s="361" t="s">
        <v>1201</v>
      </c>
      <c r="O167" s="361" t="s">
        <v>1202</v>
      </c>
      <c r="P167" s="922">
        <v>39542136.277533107</v>
      </c>
      <c r="Q167" s="482" t="s">
        <v>543</v>
      </c>
      <c r="R167" s="476" t="s">
        <v>213</v>
      </c>
      <c r="S167" s="392">
        <v>130</v>
      </c>
      <c r="T167" s="393" t="s">
        <v>1297</v>
      </c>
      <c r="U167" s="393" t="s">
        <v>1215</v>
      </c>
      <c r="V167" s="393" t="s">
        <v>119</v>
      </c>
      <c r="W167" s="507" t="s">
        <v>1298</v>
      </c>
      <c r="X167" s="442">
        <f>12/130</f>
        <v>9.2307692307692313E-2</v>
      </c>
      <c r="Y167" s="442">
        <f>42/130</f>
        <v>0.32307692307692309</v>
      </c>
      <c r="Z167" s="442">
        <f>32/130</f>
        <v>0.24615384615384617</v>
      </c>
      <c r="AA167" s="443">
        <f>44/130</f>
        <v>0.33846153846153848</v>
      </c>
      <c r="AB167" s="525">
        <v>6.66</v>
      </c>
      <c r="AC167" s="413">
        <v>0.99009900990099009</v>
      </c>
      <c r="AD167" s="413">
        <v>0.36148146666666664</v>
      </c>
      <c r="AE167" s="413">
        <v>0.37727272727272726</v>
      </c>
      <c r="AF167" s="692">
        <f t="shared" si="91"/>
        <v>9.2307692307692313E-2</v>
      </c>
      <c r="AG167" s="693" t="s">
        <v>100</v>
      </c>
      <c r="AH167" s="694">
        <f>10/12</f>
        <v>0.83333333333333337</v>
      </c>
      <c r="AI167" s="695" t="s">
        <v>1299</v>
      </c>
      <c r="AJ167" s="697" t="s">
        <v>1288</v>
      </c>
      <c r="AK167" s="693" t="str">
        <f t="shared" si="108"/>
        <v>ALTO</v>
      </c>
      <c r="AL167" s="692">
        <f t="shared" si="109"/>
        <v>7.6923076923076927E-2</v>
      </c>
      <c r="AM167" s="697" t="s">
        <v>1300</v>
      </c>
      <c r="AN167" s="693">
        <f t="shared" si="110"/>
        <v>0.51230769230769235</v>
      </c>
      <c r="AO167" s="693">
        <f t="shared" si="111"/>
        <v>7.6161462300076171E-2</v>
      </c>
      <c r="AP167" s="693">
        <f t="shared" si="112"/>
        <v>2.7806266666666666E-2</v>
      </c>
      <c r="AQ167" s="693"/>
      <c r="AR167" s="401">
        <f t="shared" si="92"/>
        <v>0.32307692307692309</v>
      </c>
      <c r="AS167" s="402" t="s">
        <v>100</v>
      </c>
      <c r="AT167" s="405">
        <f>24/42</f>
        <v>0.5714285714285714</v>
      </c>
      <c r="AU167" s="406" t="s">
        <v>1299</v>
      </c>
      <c r="AV167" s="406" t="s">
        <v>1288</v>
      </c>
      <c r="AW167" s="729" t="str">
        <f t="shared" si="113"/>
        <v>BAJO</v>
      </c>
      <c r="AX167" s="397">
        <f t="shared" si="114"/>
        <v>0.18461538461538463</v>
      </c>
      <c r="AY167" s="400" t="s">
        <v>1301</v>
      </c>
      <c r="AZ167" s="398">
        <f t="shared" si="115"/>
        <v>1.2295384615384617</v>
      </c>
      <c r="BA167" s="398">
        <f t="shared" si="116"/>
        <v>0.1827875095201828</v>
      </c>
      <c r="BB167" s="398">
        <f t="shared" si="117"/>
        <v>6.6735039999999995E-2</v>
      </c>
      <c r="BC167" s="15"/>
      <c r="BD167" s="14">
        <f t="shared" si="118"/>
        <v>0.24615384615384617</v>
      </c>
      <c r="BE167" s="645" t="s">
        <v>100</v>
      </c>
      <c r="BF167" s="681">
        <v>0.97</v>
      </c>
      <c r="BG167" s="674" t="s">
        <v>1302</v>
      </c>
      <c r="BH167" s="674" t="s">
        <v>1303</v>
      </c>
      <c r="BI167" s="658" t="str">
        <f t="shared" si="93"/>
        <v>ALTO</v>
      </c>
      <c r="BJ167" s="681">
        <f t="shared" si="119"/>
        <v>0.23876923076923079</v>
      </c>
      <c r="BK167" s="647" t="s">
        <v>1304</v>
      </c>
      <c r="BL167" s="682">
        <f t="shared" si="94"/>
        <v>3.5851235851235855E-2</v>
      </c>
      <c r="BM167" s="682">
        <f t="shared" si="95"/>
        <v>0.2411569230769231</v>
      </c>
      <c r="BN167" s="682">
        <f t="shared" si="96"/>
        <v>0.66052966137101399</v>
      </c>
      <c r="BO167" s="658"/>
      <c r="BP167" s="853">
        <f t="shared" si="107"/>
        <v>0.33846153846153848</v>
      </c>
      <c r="BQ167" s="854" t="s">
        <v>105</v>
      </c>
      <c r="BR167" s="894">
        <f>24/44</f>
        <v>0.54545454545454541</v>
      </c>
      <c r="BS167" s="890" t="s">
        <v>1305</v>
      </c>
      <c r="BT167" s="890" t="s">
        <v>1303</v>
      </c>
      <c r="BU167" s="907" t="str">
        <f t="shared" si="120"/>
        <v>BAJO</v>
      </c>
      <c r="BV167" s="875">
        <f t="shared" si="104"/>
        <v>0.18461538461538463</v>
      </c>
      <c r="BW167" s="859" t="s">
        <v>1306</v>
      </c>
      <c r="BX167" s="857">
        <f t="shared" si="97"/>
        <v>1.2295384615384617</v>
      </c>
      <c r="BY167" s="857">
        <f t="shared" si="98"/>
        <v>0.1827875095201828</v>
      </c>
      <c r="BZ167" s="857">
        <f t="shared" si="99"/>
        <v>6.6735039999999995E-2</v>
      </c>
      <c r="CA167" s="857">
        <f t="shared" si="100"/>
        <v>6.9650349650349649E-2</v>
      </c>
      <c r="CB167" s="16">
        <f t="shared" si="101"/>
        <v>0.58461538461538465</v>
      </c>
      <c r="CC167" s="16">
        <f t="shared" si="102"/>
        <v>0.41538461538461541</v>
      </c>
      <c r="CD167" s="16">
        <f t="shared" si="105"/>
        <v>1</v>
      </c>
      <c r="CE167" s="16">
        <f t="shared" si="106"/>
        <v>0.68492307692307697</v>
      </c>
      <c r="CF167" s="16" t="e">
        <f>SUM(#REF!/(CC167+CB167))</f>
        <v>#REF!</v>
      </c>
      <c r="CG167" s="17"/>
      <c r="CH167" s="17"/>
      <c r="CI167" s="17"/>
      <c r="CJ167" s="17"/>
      <c r="CV167" s="346">
        <f t="shared" si="103"/>
        <v>1</v>
      </c>
    </row>
    <row r="168" spans="1:100" s="1" customFormat="1" ht="65.099999999999994" customHeight="1" x14ac:dyDescent="0.25">
      <c r="A168" s="356" t="s">
        <v>79</v>
      </c>
      <c r="B168" s="356" t="s">
        <v>80</v>
      </c>
      <c r="C168" s="356" t="s">
        <v>81</v>
      </c>
      <c r="D168" s="356" t="s">
        <v>82</v>
      </c>
      <c r="E168" s="356" t="s">
        <v>83</v>
      </c>
      <c r="F168" s="356" t="s">
        <v>84</v>
      </c>
      <c r="G168" s="356" t="s">
        <v>85</v>
      </c>
      <c r="H168" s="357" t="s">
        <v>86</v>
      </c>
      <c r="I168" s="357" t="s">
        <v>87</v>
      </c>
      <c r="J168" s="357" t="s">
        <v>88</v>
      </c>
      <c r="K168" s="357" t="s">
        <v>5</v>
      </c>
      <c r="L168" s="357" t="s">
        <v>1307</v>
      </c>
      <c r="M168" s="357" t="s">
        <v>153</v>
      </c>
      <c r="N168" s="367" t="s">
        <v>91</v>
      </c>
      <c r="O168" s="367" t="s">
        <v>154</v>
      </c>
      <c r="P168" s="930">
        <v>39542136.277533107</v>
      </c>
      <c r="Q168" s="357" t="s">
        <v>543</v>
      </c>
      <c r="R168" s="357" t="s">
        <v>156</v>
      </c>
      <c r="S168" s="357">
        <v>3</v>
      </c>
      <c r="T168" s="369" t="s">
        <v>157</v>
      </c>
      <c r="U168" s="357" t="s">
        <v>158</v>
      </c>
      <c r="V168" s="370" t="s">
        <v>98</v>
      </c>
      <c r="W168" s="497" t="s">
        <v>159</v>
      </c>
      <c r="X168" s="432">
        <v>0</v>
      </c>
      <c r="Y168" s="432">
        <v>0.34</v>
      </c>
      <c r="Z168" s="432">
        <v>0.33</v>
      </c>
      <c r="AA168" s="444">
        <v>0.33</v>
      </c>
      <c r="AB168" s="814">
        <v>6.66</v>
      </c>
      <c r="AC168" s="815">
        <v>0.99009900990099009</v>
      </c>
      <c r="AD168" s="815">
        <v>0.36148146666666664</v>
      </c>
      <c r="AE168" s="413">
        <v>0.37727272727272726</v>
      </c>
      <c r="AF168" s="816">
        <f t="shared" si="91"/>
        <v>0</v>
      </c>
      <c r="AG168" s="817" t="s">
        <v>146</v>
      </c>
      <c r="AH168" s="820">
        <v>0</v>
      </c>
      <c r="AI168" s="825"/>
      <c r="AJ168" s="817"/>
      <c r="AK168" s="817"/>
      <c r="AL168" s="816">
        <f t="shared" si="109"/>
        <v>0</v>
      </c>
      <c r="AM168" s="819" t="s">
        <v>121</v>
      </c>
      <c r="AN168" s="817">
        <f t="shared" si="110"/>
        <v>0</v>
      </c>
      <c r="AO168" s="817">
        <f t="shared" si="111"/>
        <v>0</v>
      </c>
      <c r="AP168" s="817">
        <f t="shared" si="112"/>
        <v>0</v>
      </c>
      <c r="AQ168" s="817"/>
      <c r="AR168" s="816">
        <f t="shared" si="92"/>
        <v>0.34</v>
      </c>
      <c r="AS168" s="817" t="s">
        <v>100</v>
      </c>
      <c r="AT168" s="820">
        <f>1/1</f>
        <v>1</v>
      </c>
      <c r="AU168" s="825" t="s">
        <v>1308</v>
      </c>
      <c r="AV168" s="825" t="s">
        <v>1309</v>
      </c>
      <c r="AW168" s="821" t="str">
        <f t="shared" si="113"/>
        <v>ALTO</v>
      </c>
      <c r="AX168" s="822">
        <f t="shared" si="114"/>
        <v>0.34</v>
      </c>
      <c r="AY168" s="830" t="s">
        <v>246</v>
      </c>
      <c r="AZ168" s="316">
        <f t="shared" si="115"/>
        <v>2.2644000000000002</v>
      </c>
      <c r="BA168" s="316">
        <f t="shared" si="116"/>
        <v>0.33663366336633666</v>
      </c>
      <c r="BB168" s="316">
        <f t="shared" si="117"/>
        <v>0.12290369866666667</v>
      </c>
      <c r="BC168" s="15"/>
      <c r="BD168" s="822">
        <f t="shared" si="118"/>
        <v>0.33</v>
      </c>
      <c r="BE168" s="817" t="s">
        <v>100</v>
      </c>
      <c r="BF168" s="827">
        <v>1</v>
      </c>
      <c r="BG168" s="825" t="s">
        <v>1310</v>
      </c>
      <c r="BH168" s="825" t="s">
        <v>1309</v>
      </c>
      <c r="BI168" s="317" t="str">
        <f t="shared" si="93"/>
        <v>ALTO</v>
      </c>
      <c r="BJ168" s="827">
        <f t="shared" si="119"/>
        <v>0.33</v>
      </c>
      <c r="BK168" s="813" t="s">
        <v>1311</v>
      </c>
      <c r="BL168" s="828">
        <f t="shared" si="94"/>
        <v>4.954954954954955E-2</v>
      </c>
      <c r="BM168" s="828">
        <f t="shared" si="95"/>
        <v>0.33330000000000004</v>
      </c>
      <c r="BN168" s="828">
        <f t="shared" si="96"/>
        <v>0.91290987347991293</v>
      </c>
      <c r="BO168" s="317"/>
      <c r="BP168" s="853">
        <f t="shared" si="107"/>
        <v>0.33</v>
      </c>
      <c r="BQ168" s="854" t="s">
        <v>105</v>
      </c>
      <c r="BR168" s="894">
        <v>1</v>
      </c>
      <c r="BS168" s="890" t="s">
        <v>1310</v>
      </c>
      <c r="BT168" s="890" t="s">
        <v>1309</v>
      </c>
      <c r="BU168" s="905" t="str">
        <f t="shared" si="120"/>
        <v>ALTO</v>
      </c>
      <c r="BV168" s="875">
        <f t="shared" si="104"/>
        <v>0.33</v>
      </c>
      <c r="BW168" s="859" t="s">
        <v>336</v>
      </c>
      <c r="BX168" s="857">
        <f t="shared" si="97"/>
        <v>2.1978</v>
      </c>
      <c r="BY168" s="857">
        <f t="shared" si="98"/>
        <v>0.32673267326732675</v>
      </c>
      <c r="BZ168" s="857">
        <f t="shared" si="99"/>
        <v>0.119288884</v>
      </c>
      <c r="CA168" s="857">
        <f t="shared" si="100"/>
        <v>0.1245</v>
      </c>
      <c r="CB168" s="16">
        <f t="shared" si="101"/>
        <v>0.66</v>
      </c>
      <c r="CC168" s="16">
        <f t="shared" si="102"/>
        <v>0.34</v>
      </c>
      <c r="CD168" s="16">
        <f t="shared" si="105"/>
        <v>1</v>
      </c>
      <c r="CE168" s="16">
        <f t="shared" si="106"/>
        <v>1</v>
      </c>
      <c r="CF168" s="16" t="e">
        <f>SUM(#REF!/(CC168+CB168))</f>
        <v>#REF!</v>
      </c>
      <c r="CG168" s="17"/>
      <c r="CH168" s="17"/>
      <c r="CI168" s="17"/>
      <c r="CJ168" s="17"/>
      <c r="CK168" s="3" t="s">
        <v>165</v>
      </c>
      <c r="CV168" s="346">
        <f t="shared" si="103"/>
        <v>1</v>
      </c>
    </row>
    <row r="169" spans="1:100" s="1" customFormat="1" ht="65.099999999999994" customHeight="1" x14ac:dyDescent="0.25">
      <c r="A169" s="356" t="s">
        <v>79</v>
      </c>
      <c r="B169" s="356" t="s">
        <v>80</v>
      </c>
      <c r="C169" s="356" t="s">
        <v>81</v>
      </c>
      <c r="D169" s="356" t="s">
        <v>82</v>
      </c>
      <c r="E169" s="356" t="s">
        <v>83</v>
      </c>
      <c r="F169" s="356" t="s">
        <v>84</v>
      </c>
      <c r="G169" s="356" t="s">
        <v>85</v>
      </c>
      <c r="H169" s="357" t="s">
        <v>86</v>
      </c>
      <c r="I169" s="357" t="s">
        <v>87</v>
      </c>
      <c r="J169" s="357" t="s">
        <v>88</v>
      </c>
      <c r="K169" s="357" t="s">
        <v>5</v>
      </c>
      <c r="L169" s="357" t="s">
        <v>1307</v>
      </c>
      <c r="M169" s="357" t="s">
        <v>166</v>
      </c>
      <c r="N169" s="367" t="s">
        <v>91</v>
      </c>
      <c r="O169" s="367" t="s">
        <v>154</v>
      </c>
      <c r="P169" s="930">
        <v>39542136.277533107</v>
      </c>
      <c r="Q169" s="357" t="s">
        <v>543</v>
      </c>
      <c r="R169" s="357" t="s">
        <v>156</v>
      </c>
      <c r="S169" s="357">
        <v>3</v>
      </c>
      <c r="T169" s="377" t="s">
        <v>167</v>
      </c>
      <c r="U169" s="357" t="s">
        <v>168</v>
      </c>
      <c r="V169" s="357" t="s">
        <v>98</v>
      </c>
      <c r="W169" s="497" t="s">
        <v>616</v>
      </c>
      <c r="X169" s="432">
        <v>0</v>
      </c>
      <c r="Y169" s="432">
        <v>0.33</v>
      </c>
      <c r="Z169" s="432">
        <v>0.33</v>
      </c>
      <c r="AA169" s="444">
        <v>0.34</v>
      </c>
      <c r="AB169" s="814">
        <v>6.66</v>
      </c>
      <c r="AC169" s="815">
        <v>0.99009900990099009</v>
      </c>
      <c r="AD169" s="815">
        <v>0.36148146666666664</v>
      </c>
      <c r="AE169" s="413">
        <v>0.37727272727272726</v>
      </c>
      <c r="AF169" s="816">
        <f t="shared" si="91"/>
        <v>0</v>
      </c>
      <c r="AG169" s="817" t="s">
        <v>146</v>
      </c>
      <c r="AH169" s="820">
        <v>0</v>
      </c>
      <c r="AI169" s="817"/>
      <c r="AJ169" s="817"/>
      <c r="AK169" s="817"/>
      <c r="AL169" s="816">
        <f t="shared" si="109"/>
        <v>0</v>
      </c>
      <c r="AM169" s="819" t="s">
        <v>121</v>
      </c>
      <c r="AN169" s="817">
        <f t="shared" si="110"/>
        <v>0</v>
      </c>
      <c r="AO169" s="817">
        <f t="shared" si="111"/>
        <v>0</v>
      </c>
      <c r="AP169" s="817">
        <f t="shared" si="112"/>
        <v>0</v>
      </c>
      <c r="AQ169" s="817"/>
      <c r="AR169" s="816">
        <f t="shared" si="92"/>
        <v>0.33</v>
      </c>
      <c r="AS169" s="817" t="s">
        <v>100</v>
      </c>
      <c r="AT169" s="820">
        <f>1/1</f>
        <v>1</v>
      </c>
      <c r="AU169" s="825" t="s">
        <v>1312</v>
      </c>
      <c r="AV169" s="825" t="s">
        <v>1313</v>
      </c>
      <c r="AW169" s="821" t="str">
        <f t="shared" si="113"/>
        <v>ALTO</v>
      </c>
      <c r="AX169" s="822">
        <f t="shared" si="114"/>
        <v>0.33</v>
      </c>
      <c r="AY169" s="830" t="s">
        <v>1314</v>
      </c>
      <c r="AZ169" s="316">
        <f t="shared" si="115"/>
        <v>2.1978</v>
      </c>
      <c r="BA169" s="316">
        <f t="shared" si="116"/>
        <v>0.32673267326732675</v>
      </c>
      <c r="BB169" s="316">
        <f t="shared" si="117"/>
        <v>0.119288884</v>
      </c>
      <c r="BC169" s="15"/>
      <c r="BD169" s="822">
        <f t="shared" si="118"/>
        <v>0.33</v>
      </c>
      <c r="BE169" s="817" t="s">
        <v>100</v>
      </c>
      <c r="BF169" s="827">
        <v>1</v>
      </c>
      <c r="BG169" s="825" t="s">
        <v>1315</v>
      </c>
      <c r="BH169" s="825" t="s">
        <v>1316</v>
      </c>
      <c r="BI169" s="317" t="str">
        <f t="shared" si="93"/>
        <v>ALTO</v>
      </c>
      <c r="BJ169" s="827">
        <f t="shared" si="119"/>
        <v>0.33</v>
      </c>
      <c r="BK169" s="813" t="s">
        <v>1317</v>
      </c>
      <c r="BL169" s="828">
        <f t="shared" si="94"/>
        <v>4.954954954954955E-2</v>
      </c>
      <c r="BM169" s="828">
        <f t="shared" si="95"/>
        <v>0.33330000000000004</v>
      </c>
      <c r="BN169" s="828">
        <f t="shared" si="96"/>
        <v>0.91290987347991293</v>
      </c>
      <c r="BO169" s="317"/>
      <c r="BP169" s="853">
        <f t="shared" si="107"/>
        <v>0.34</v>
      </c>
      <c r="BQ169" s="854" t="s">
        <v>105</v>
      </c>
      <c r="BR169" s="894">
        <v>0.5</v>
      </c>
      <c r="BS169" s="890" t="s">
        <v>1315</v>
      </c>
      <c r="BT169" s="890" t="s">
        <v>1316</v>
      </c>
      <c r="BU169" s="907" t="str">
        <f t="shared" si="120"/>
        <v>BAJO</v>
      </c>
      <c r="BV169" s="875">
        <f t="shared" si="104"/>
        <v>0.17</v>
      </c>
      <c r="BW169" s="859" t="s">
        <v>1318</v>
      </c>
      <c r="BX169" s="857">
        <f t="shared" si="97"/>
        <v>1.1322000000000001</v>
      </c>
      <c r="BY169" s="857">
        <f t="shared" si="98"/>
        <v>0.16831683168316833</v>
      </c>
      <c r="BZ169" s="857">
        <f t="shared" si="99"/>
        <v>6.1451849333333336E-2</v>
      </c>
      <c r="CA169" s="857">
        <f t="shared" si="100"/>
        <v>6.4136363636363644E-2</v>
      </c>
      <c r="CB169" s="16">
        <f t="shared" si="101"/>
        <v>0.67</v>
      </c>
      <c r="CC169" s="16">
        <f t="shared" si="102"/>
        <v>0.33</v>
      </c>
      <c r="CD169" s="16">
        <f t="shared" si="105"/>
        <v>1</v>
      </c>
      <c r="CE169" s="16">
        <f t="shared" si="106"/>
        <v>0.83000000000000007</v>
      </c>
      <c r="CF169" s="16" t="e">
        <f>SUM(#REF!/(CC169+CB169))</f>
        <v>#REF!</v>
      </c>
      <c r="CG169" s="17"/>
      <c r="CH169" s="17"/>
      <c r="CI169" s="17"/>
      <c r="CJ169" s="17"/>
      <c r="CK169" s="3" t="s">
        <v>165</v>
      </c>
      <c r="CV169" s="346">
        <f t="shared" ref="CV169:CV200" si="121">SUM(X169:AA169)</f>
        <v>1</v>
      </c>
    </row>
    <row r="170" spans="1:100" s="1" customFormat="1" ht="198" customHeight="1" x14ac:dyDescent="0.25">
      <c r="A170" s="356" t="s">
        <v>79</v>
      </c>
      <c r="B170" s="356" t="s">
        <v>80</v>
      </c>
      <c r="C170" s="356" t="s">
        <v>81</v>
      </c>
      <c r="D170" s="356" t="s">
        <v>82</v>
      </c>
      <c r="E170" s="356" t="s">
        <v>83</v>
      </c>
      <c r="F170" s="356" t="s">
        <v>84</v>
      </c>
      <c r="G170" s="357" t="s">
        <v>85</v>
      </c>
      <c r="H170" s="357" t="s">
        <v>86</v>
      </c>
      <c r="I170" s="357" t="s">
        <v>87</v>
      </c>
      <c r="J170" s="357" t="s">
        <v>88</v>
      </c>
      <c r="K170" s="357" t="s">
        <v>5</v>
      </c>
      <c r="L170" s="357" t="s">
        <v>1307</v>
      </c>
      <c r="M170" s="357" t="s">
        <v>174</v>
      </c>
      <c r="N170" s="367" t="s">
        <v>91</v>
      </c>
      <c r="O170" s="367" t="s">
        <v>154</v>
      </c>
      <c r="P170" s="930">
        <v>39542136.277533107</v>
      </c>
      <c r="Q170" s="357" t="s">
        <v>543</v>
      </c>
      <c r="R170" s="357" t="s">
        <v>156</v>
      </c>
      <c r="S170" s="357">
        <v>3</v>
      </c>
      <c r="T170" s="371" t="s">
        <v>175</v>
      </c>
      <c r="U170" s="357" t="s">
        <v>176</v>
      </c>
      <c r="V170" s="357" t="s">
        <v>98</v>
      </c>
      <c r="W170" s="497" t="s">
        <v>159</v>
      </c>
      <c r="X170" s="432"/>
      <c r="Y170" s="432">
        <v>0.33</v>
      </c>
      <c r="Z170" s="432">
        <v>0.33</v>
      </c>
      <c r="AA170" s="444">
        <v>0.34</v>
      </c>
      <c r="AB170" s="814">
        <v>6.66</v>
      </c>
      <c r="AC170" s="815">
        <v>0.99009900990099009</v>
      </c>
      <c r="AD170" s="815">
        <v>0.36148146666666664</v>
      </c>
      <c r="AE170" s="413">
        <v>0.37727272727272726</v>
      </c>
      <c r="AF170" s="816">
        <f t="shared" si="91"/>
        <v>0</v>
      </c>
      <c r="AG170" s="817" t="s">
        <v>146</v>
      </c>
      <c r="AH170" s="820">
        <f>0/1</f>
        <v>0</v>
      </c>
      <c r="AI170" s="825" t="s">
        <v>1319</v>
      </c>
      <c r="AJ170" s="817"/>
      <c r="AK170" s="817"/>
      <c r="AL170" s="816">
        <f t="shared" si="109"/>
        <v>0</v>
      </c>
      <c r="AM170" s="825" t="s">
        <v>1320</v>
      </c>
      <c r="AN170" s="817">
        <f t="shared" si="110"/>
        <v>0</v>
      </c>
      <c r="AO170" s="817">
        <f t="shared" si="111"/>
        <v>0</v>
      </c>
      <c r="AP170" s="817">
        <f t="shared" si="112"/>
        <v>0</v>
      </c>
      <c r="AQ170" s="817"/>
      <c r="AR170" s="816">
        <f t="shared" si="92"/>
        <v>0.33</v>
      </c>
      <c r="AS170" s="817" t="s">
        <v>100</v>
      </c>
      <c r="AT170" s="820">
        <f>1/1</f>
        <v>1</v>
      </c>
      <c r="AU170" s="825" t="s">
        <v>1321</v>
      </c>
      <c r="AV170" s="825" t="s">
        <v>1322</v>
      </c>
      <c r="AW170" s="821" t="str">
        <f t="shared" si="113"/>
        <v>ALTO</v>
      </c>
      <c r="AX170" s="822">
        <f t="shared" si="114"/>
        <v>0.33</v>
      </c>
      <c r="AY170" s="830" t="s">
        <v>246</v>
      </c>
      <c r="AZ170" s="316">
        <f t="shared" si="115"/>
        <v>2.1978</v>
      </c>
      <c r="BA170" s="316">
        <f t="shared" si="116"/>
        <v>0.32673267326732675</v>
      </c>
      <c r="BB170" s="316">
        <f t="shared" si="117"/>
        <v>0.119288884</v>
      </c>
      <c r="BC170" s="15"/>
      <c r="BD170" s="822">
        <f t="shared" si="118"/>
        <v>0.33</v>
      </c>
      <c r="BE170" s="817" t="s">
        <v>100</v>
      </c>
      <c r="BF170" s="827">
        <v>1</v>
      </c>
      <c r="BG170" s="825" t="s">
        <v>1321</v>
      </c>
      <c r="BH170" s="825" t="s">
        <v>1323</v>
      </c>
      <c r="BI170" s="317" t="str">
        <f t="shared" si="93"/>
        <v>ALTO</v>
      </c>
      <c r="BJ170" s="827">
        <f t="shared" si="119"/>
        <v>0.33</v>
      </c>
      <c r="BK170" s="813" t="s">
        <v>1324</v>
      </c>
      <c r="BL170" s="828">
        <f t="shared" si="94"/>
        <v>4.954954954954955E-2</v>
      </c>
      <c r="BM170" s="828">
        <f t="shared" si="95"/>
        <v>0.33330000000000004</v>
      </c>
      <c r="BN170" s="828">
        <f t="shared" si="96"/>
        <v>0.91290987347991293</v>
      </c>
      <c r="BO170" s="317"/>
      <c r="BP170" s="853">
        <f t="shared" si="107"/>
        <v>0.34</v>
      </c>
      <c r="BQ170" s="854" t="s">
        <v>105</v>
      </c>
      <c r="BR170" s="855">
        <v>1</v>
      </c>
      <c r="BS170" s="890" t="s">
        <v>1321</v>
      </c>
      <c r="BT170" s="890" t="s">
        <v>1323</v>
      </c>
      <c r="BU170" s="905" t="str">
        <f t="shared" si="120"/>
        <v>ALTO</v>
      </c>
      <c r="BV170" s="875">
        <f t="shared" si="104"/>
        <v>0.34</v>
      </c>
      <c r="BW170" s="859" t="s">
        <v>180</v>
      </c>
      <c r="BX170" s="857">
        <f t="shared" si="97"/>
        <v>2.2644000000000002</v>
      </c>
      <c r="BY170" s="857">
        <f t="shared" si="98"/>
        <v>0.33663366336633666</v>
      </c>
      <c r="BZ170" s="857">
        <f t="shared" si="99"/>
        <v>0.12290369866666667</v>
      </c>
      <c r="CA170" s="857">
        <f t="shared" si="100"/>
        <v>0.12827272727272729</v>
      </c>
      <c r="CB170" s="16">
        <f t="shared" si="101"/>
        <v>0.67</v>
      </c>
      <c r="CC170" s="16">
        <f t="shared" si="102"/>
        <v>0.33</v>
      </c>
      <c r="CD170" s="16">
        <f t="shared" si="105"/>
        <v>1</v>
      </c>
      <c r="CE170" s="16">
        <f t="shared" si="106"/>
        <v>1</v>
      </c>
      <c r="CF170" s="16" t="e">
        <f>SUM(#REF!/(CC170+CB170))</f>
        <v>#REF!</v>
      </c>
      <c r="CG170" s="17"/>
      <c r="CH170" s="17"/>
      <c r="CI170" s="17"/>
      <c r="CJ170" s="17"/>
      <c r="CK170" s="3" t="s">
        <v>165</v>
      </c>
      <c r="CV170" s="346">
        <f t="shared" si="121"/>
        <v>1</v>
      </c>
    </row>
    <row r="171" spans="1:100" s="1" customFormat="1" ht="65.099999999999994" customHeight="1" x14ac:dyDescent="0.25">
      <c r="A171" s="356" t="s">
        <v>79</v>
      </c>
      <c r="B171" s="356" t="s">
        <v>80</v>
      </c>
      <c r="C171" s="356" t="s">
        <v>81</v>
      </c>
      <c r="D171" s="356" t="s">
        <v>82</v>
      </c>
      <c r="E171" s="356" t="s">
        <v>83</v>
      </c>
      <c r="F171" s="356" t="s">
        <v>84</v>
      </c>
      <c r="G171" s="357" t="s">
        <v>85</v>
      </c>
      <c r="H171" s="357" t="s">
        <v>86</v>
      </c>
      <c r="I171" s="357" t="s">
        <v>87</v>
      </c>
      <c r="J171" s="357" t="s">
        <v>88</v>
      </c>
      <c r="K171" s="357" t="s">
        <v>5</v>
      </c>
      <c r="L171" s="357" t="s">
        <v>1307</v>
      </c>
      <c r="M171" s="357" t="s">
        <v>181</v>
      </c>
      <c r="N171" s="367" t="s">
        <v>91</v>
      </c>
      <c r="O171" s="367" t="s">
        <v>154</v>
      </c>
      <c r="P171" s="930">
        <v>39542136.277533107</v>
      </c>
      <c r="Q171" s="357" t="s">
        <v>543</v>
      </c>
      <c r="R171" s="357" t="s">
        <v>1325</v>
      </c>
      <c r="S171" s="371">
        <v>1</v>
      </c>
      <c r="T171" s="369" t="s">
        <v>182</v>
      </c>
      <c r="U171" s="357" t="s">
        <v>183</v>
      </c>
      <c r="V171" s="357" t="s">
        <v>98</v>
      </c>
      <c r="W171" s="497" t="s">
        <v>1326</v>
      </c>
      <c r="X171" s="432">
        <v>0</v>
      </c>
      <c r="Y171" s="432">
        <v>0</v>
      </c>
      <c r="Z171" s="432">
        <v>1</v>
      </c>
      <c r="AA171" s="444">
        <v>0</v>
      </c>
      <c r="AB171" s="814">
        <v>6.66</v>
      </c>
      <c r="AC171" s="815">
        <v>0.99009900990099009</v>
      </c>
      <c r="AD171" s="815">
        <v>0.36148146666666664</v>
      </c>
      <c r="AE171" s="413">
        <v>0.37727272727272726</v>
      </c>
      <c r="AF171" s="816">
        <f t="shared" si="91"/>
        <v>0</v>
      </c>
      <c r="AG171" s="817" t="s">
        <v>146</v>
      </c>
      <c r="AH171" s="820">
        <v>0</v>
      </c>
      <c r="AI171" s="817"/>
      <c r="AJ171" s="817"/>
      <c r="AK171" s="817"/>
      <c r="AL171" s="816">
        <f t="shared" si="109"/>
        <v>0</v>
      </c>
      <c r="AM171" s="825" t="s">
        <v>121</v>
      </c>
      <c r="AN171" s="817">
        <f t="shared" si="110"/>
        <v>0</v>
      </c>
      <c r="AO171" s="817">
        <f t="shared" si="111"/>
        <v>0</v>
      </c>
      <c r="AP171" s="817">
        <f t="shared" si="112"/>
        <v>0</v>
      </c>
      <c r="AQ171" s="817"/>
      <c r="AR171" s="816">
        <f t="shared" si="92"/>
        <v>0</v>
      </c>
      <c r="AS171" s="817" t="s">
        <v>146</v>
      </c>
      <c r="AT171" s="820">
        <v>0</v>
      </c>
      <c r="AU171" s="825"/>
      <c r="AV171" s="831"/>
      <c r="AW171" s="821"/>
      <c r="AX171" s="822">
        <f t="shared" si="114"/>
        <v>0</v>
      </c>
      <c r="AY171" s="830" t="s">
        <v>121</v>
      </c>
      <c r="AZ171" s="316">
        <f t="shared" si="115"/>
        <v>0</v>
      </c>
      <c r="BA171" s="316">
        <f t="shared" si="116"/>
        <v>0</v>
      </c>
      <c r="BB171" s="316">
        <f t="shared" si="117"/>
        <v>0</v>
      </c>
      <c r="BC171" s="15"/>
      <c r="BD171" s="822">
        <f t="shared" si="118"/>
        <v>1</v>
      </c>
      <c r="BE171" s="817" t="s">
        <v>100</v>
      </c>
      <c r="BF171" s="827">
        <v>0</v>
      </c>
      <c r="BG171" s="830" t="s">
        <v>1327</v>
      </c>
      <c r="BH171" s="830" t="s">
        <v>1328</v>
      </c>
      <c r="BI171" s="317" t="str">
        <f t="shared" si="93"/>
        <v>BAJO</v>
      </c>
      <c r="BJ171" s="827">
        <f t="shared" si="119"/>
        <v>0</v>
      </c>
      <c r="BK171" s="813" t="s">
        <v>1329</v>
      </c>
      <c r="BL171" s="828">
        <f t="shared" si="94"/>
        <v>0</v>
      </c>
      <c r="BM171" s="828">
        <f t="shared" si="95"/>
        <v>0</v>
      </c>
      <c r="BN171" s="828">
        <f t="shared" si="96"/>
        <v>0</v>
      </c>
      <c r="BO171" s="317"/>
      <c r="BP171" s="853">
        <v>0</v>
      </c>
      <c r="BQ171" s="854" t="s">
        <v>105</v>
      </c>
      <c r="BR171" s="894">
        <v>1</v>
      </c>
      <c r="BS171" s="856" t="s">
        <v>1330</v>
      </c>
      <c r="BT171" s="856" t="s">
        <v>1328</v>
      </c>
      <c r="BU171" s="905" t="str">
        <f t="shared" si="120"/>
        <v>ALTO</v>
      </c>
      <c r="BV171" s="875">
        <f t="shared" si="104"/>
        <v>0</v>
      </c>
      <c r="BW171" s="859" t="s">
        <v>1331</v>
      </c>
      <c r="BX171" s="857">
        <f t="shared" si="97"/>
        <v>0</v>
      </c>
      <c r="BY171" s="857">
        <f t="shared" si="98"/>
        <v>0</v>
      </c>
      <c r="BZ171" s="857">
        <f t="shared" si="99"/>
        <v>0</v>
      </c>
      <c r="CA171" s="857">
        <f t="shared" si="100"/>
        <v>0</v>
      </c>
      <c r="CB171" s="16">
        <f t="shared" si="101"/>
        <v>1</v>
      </c>
      <c r="CC171" s="16">
        <f t="shared" si="102"/>
        <v>0</v>
      </c>
      <c r="CD171" s="16">
        <f t="shared" si="105"/>
        <v>1</v>
      </c>
      <c r="CE171" s="16">
        <f t="shared" si="106"/>
        <v>0</v>
      </c>
      <c r="CF171" s="16" t="e">
        <f>SUM(#REF!/(CC171+CB171))</f>
        <v>#REF!</v>
      </c>
      <c r="CG171" s="17"/>
      <c r="CH171" s="17"/>
      <c r="CI171" s="17"/>
      <c r="CJ171" s="17"/>
      <c r="CV171" s="346">
        <f t="shared" si="121"/>
        <v>1</v>
      </c>
    </row>
    <row r="172" spans="1:100" s="1" customFormat="1" ht="65.099999999999994" customHeight="1" x14ac:dyDescent="0.25">
      <c r="A172" s="356" t="s">
        <v>79</v>
      </c>
      <c r="B172" s="356" t="s">
        <v>80</v>
      </c>
      <c r="C172" s="356" t="s">
        <v>81</v>
      </c>
      <c r="D172" s="356" t="s">
        <v>82</v>
      </c>
      <c r="E172" s="356" t="s">
        <v>83</v>
      </c>
      <c r="F172" s="356" t="s">
        <v>84</v>
      </c>
      <c r="G172" s="356" t="s">
        <v>85</v>
      </c>
      <c r="H172" s="356" t="s">
        <v>86</v>
      </c>
      <c r="I172" s="356" t="s">
        <v>87</v>
      </c>
      <c r="J172" s="356" t="s">
        <v>152</v>
      </c>
      <c r="K172" s="357" t="s">
        <v>5</v>
      </c>
      <c r="L172" s="357" t="s">
        <v>1307</v>
      </c>
      <c r="M172" s="357" t="s">
        <v>633</v>
      </c>
      <c r="N172" s="367" t="s">
        <v>91</v>
      </c>
      <c r="O172" s="367" t="s">
        <v>154</v>
      </c>
      <c r="P172" s="930">
        <v>39542136.277533107</v>
      </c>
      <c r="Q172" s="357" t="s">
        <v>543</v>
      </c>
      <c r="R172" s="357" t="s">
        <v>156</v>
      </c>
      <c r="S172" s="378">
        <v>1</v>
      </c>
      <c r="T172" s="475" t="s">
        <v>191</v>
      </c>
      <c r="U172" s="475" t="s">
        <v>158</v>
      </c>
      <c r="V172" s="489" t="s">
        <v>98</v>
      </c>
      <c r="W172" s="496" t="s">
        <v>192</v>
      </c>
      <c r="X172" s="446">
        <v>0</v>
      </c>
      <c r="Y172" s="447">
        <v>0</v>
      </c>
      <c r="Z172" s="447">
        <v>0.34</v>
      </c>
      <c r="AA172" s="517">
        <v>0.66</v>
      </c>
      <c r="AB172" s="814">
        <v>6.66</v>
      </c>
      <c r="AC172" s="815">
        <v>0.99009900990099009</v>
      </c>
      <c r="AD172" s="815">
        <v>0.36148146666666664</v>
      </c>
      <c r="AE172" s="413">
        <v>0.37727272727272726</v>
      </c>
      <c r="AF172" s="816">
        <f t="shared" si="91"/>
        <v>0</v>
      </c>
      <c r="AG172" s="817" t="s">
        <v>146</v>
      </c>
      <c r="AH172" s="820">
        <f>0/1</f>
        <v>0</v>
      </c>
      <c r="AI172" s="825" t="s">
        <v>1332</v>
      </c>
      <c r="AJ172" s="817"/>
      <c r="AK172" s="817"/>
      <c r="AL172" s="816">
        <f t="shared" si="109"/>
        <v>0</v>
      </c>
      <c r="AM172" s="825" t="s">
        <v>1320</v>
      </c>
      <c r="AN172" s="817">
        <f t="shared" si="110"/>
        <v>0</v>
      </c>
      <c r="AO172" s="817">
        <f t="shared" si="111"/>
        <v>0</v>
      </c>
      <c r="AP172" s="817">
        <f t="shared" si="112"/>
        <v>0</v>
      </c>
      <c r="AQ172" s="817"/>
      <c r="AR172" s="816">
        <f t="shared" si="92"/>
        <v>0</v>
      </c>
      <c r="AS172" s="817" t="s">
        <v>146</v>
      </c>
      <c r="AT172" s="820">
        <v>0</v>
      </c>
      <c r="AU172" s="825" t="s">
        <v>1333</v>
      </c>
      <c r="AV172" s="825" t="s">
        <v>1334</v>
      </c>
      <c r="AW172" s="821" t="str">
        <f t="shared" si="113"/>
        <v>BAJO</v>
      </c>
      <c r="AX172" s="822">
        <f t="shared" si="114"/>
        <v>0</v>
      </c>
      <c r="AY172" s="830"/>
      <c r="AZ172" s="316">
        <f t="shared" si="115"/>
        <v>0</v>
      </c>
      <c r="BA172" s="316">
        <f t="shared" si="116"/>
        <v>0</v>
      </c>
      <c r="BB172" s="316">
        <f t="shared" si="117"/>
        <v>0</v>
      </c>
      <c r="BC172" s="15"/>
      <c r="BD172" s="822">
        <f t="shared" si="118"/>
        <v>0.34</v>
      </c>
      <c r="BE172" s="817" t="s">
        <v>146</v>
      </c>
      <c r="BF172" s="827">
        <v>1</v>
      </c>
      <c r="BG172" s="825" t="s">
        <v>1335</v>
      </c>
      <c r="BH172" s="830" t="s">
        <v>1336</v>
      </c>
      <c r="BI172" s="317" t="str">
        <f t="shared" si="93"/>
        <v>ALTO</v>
      </c>
      <c r="BJ172" s="827">
        <f t="shared" si="119"/>
        <v>0.34</v>
      </c>
      <c r="BK172" s="317" t="s">
        <v>1337</v>
      </c>
      <c r="BL172" s="828">
        <f t="shared" si="94"/>
        <v>5.1051051051051052E-2</v>
      </c>
      <c r="BM172" s="828">
        <f t="shared" si="95"/>
        <v>0.34340000000000004</v>
      </c>
      <c r="BN172" s="828">
        <f t="shared" si="96"/>
        <v>0.94057380903991039</v>
      </c>
      <c r="BO172" s="317"/>
      <c r="BP172" s="853">
        <f t="shared" ref="BP172:BP203" si="122">AA172</f>
        <v>0.66</v>
      </c>
      <c r="BQ172" s="854" t="s">
        <v>105</v>
      </c>
      <c r="BR172" s="894">
        <v>1</v>
      </c>
      <c r="BS172" s="890" t="s">
        <v>1338</v>
      </c>
      <c r="BT172" s="890" t="s">
        <v>1339</v>
      </c>
      <c r="BU172" s="905" t="str">
        <f t="shared" si="120"/>
        <v>ALTO</v>
      </c>
      <c r="BV172" s="875">
        <f t="shared" si="104"/>
        <v>0.66</v>
      </c>
      <c r="BW172" s="859" t="s">
        <v>1195</v>
      </c>
      <c r="BX172" s="857">
        <f t="shared" si="97"/>
        <v>4.3956</v>
      </c>
      <c r="BY172" s="857">
        <f t="shared" si="98"/>
        <v>0.65346534653465349</v>
      </c>
      <c r="BZ172" s="857">
        <f t="shared" si="99"/>
        <v>0.238577768</v>
      </c>
      <c r="CA172" s="857">
        <f t="shared" si="100"/>
        <v>0.249</v>
      </c>
      <c r="CB172" s="16">
        <f t="shared" si="101"/>
        <v>1</v>
      </c>
      <c r="CC172" s="16">
        <f t="shared" si="102"/>
        <v>0</v>
      </c>
      <c r="CD172" s="16">
        <f t="shared" si="105"/>
        <v>1</v>
      </c>
      <c r="CE172" s="16">
        <f t="shared" si="106"/>
        <v>1</v>
      </c>
      <c r="CF172" s="16" t="e">
        <f>SUM(#REF!/(CC172+CB172))</f>
        <v>#REF!</v>
      </c>
      <c r="CG172" s="17"/>
      <c r="CH172" s="17"/>
      <c r="CI172" s="17"/>
      <c r="CJ172" s="17"/>
      <c r="CK172" s="3" t="s">
        <v>165</v>
      </c>
      <c r="CV172" s="346">
        <f t="shared" si="121"/>
        <v>1</v>
      </c>
    </row>
    <row r="173" spans="1:100" s="1" customFormat="1" ht="65.099999999999994" customHeight="1" x14ac:dyDescent="0.25">
      <c r="A173" s="356" t="s">
        <v>79</v>
      </c>
      <c r="B173" s="356" t="s">
        <v>80</v>
      </c>
      <c r="C173" s="356" t="s">
        <v>81</v>
      </c>
      <c r="D173" s="356" t="s">
        <v>82</v>
      </c>
      <c r="E173" s="356" t="s">
        <v>83</v>
      </c>
      <c r="F173" s="356" t="s">
        <v>84</v>
      </c>
      <c r="G173" s="356" t="s">
        <v>85</v>
      </c>
      <c r="H173" s="356" t="s">
        <v>86</v>
      </c>
      <c r="I173" s="356" t="s">
        <v>87</v>
      </c>
      <c r="J173" s="356" t="s">
        <v>152</v>
      </c>
      <c r="K173" s="357" t="s">
        <v>5</v>
      </c>
      <c r="L173" s="357" t="s">
        <v>1307</v>
      </c>
      <c r="M173" s="357" t="s">
        <v>195</v>
      </c>
      <c r="N173" s="367" t="s">
        <v>91</v>
      </c>
      <c r="O173" s="367" t="s">
        <v>154</v>
      </c>
      <c r="P173" s="930">
        <v>39542136.277533107</v>
      </c>
      <c r="Q173" s="357" t="s">
        <v>543</v>
      </c>
      <c r="R173" s="357" t="s">
        <v>156</v>
      </c>
      <c r="S173" s="357">
        <v>7</v>
      </c>
      <c r="T173" s="369" t="s">
        <v>196</v>
      </c>
      <c r="U173" s="357" t="s">
        <v>158</v>
      </c>
      <c r="V173" s="370" t="s">
        <v>98</v>
      </c>
      <c r="W173" s="497" t="s">
        <v>197</v>
      </c>
      <c r="X173" s="432">
        <v>0</v>
      </c>
      <c r="Y173" s="432">
        <f>1/7</f>
        <v>0.14285714285714285</v>
      </c>
      <c r="Z173" s="432">
        <f>3/7</f>
        <v>0.42857142857142855</v>
      </c>
      <c r="AA173" s="444">
        <f>3/7</f>
        <v>0.42857142857142855</v>
      </c>
      <c r="AB173" s="814">
        <v>6.66</v>
      </c>
      <c r="AC173" s="815">
        <v>0.99009900990099009</v>
      </c>
      <c r="AD173" s="815">
        <v>0.36148146666666664</v>
      </c>
      <c r="AE173" s="413">
        <v>0.37727272727272726</v>
      </c>
      <c r="AF173" s="816">
        <f t="shared" si="91"/>
        <v>0</v>
      </c>
      <c r="AG173" s="817" t="s">
        <v>146</v>
      </c>
      <c r="AH173" s="820">
        <v>0</v>
      </c>
      <c r="AI173" s="817"/>
      <c r="AJ173" s="817"/>
      <c r="AK173" s="817"/>
      <c r="AL173" s="816">
        <f t="shared" si="109"/>
        <v>0</v>
      </c>
      <c r="AM173" s="819" t="s">
        <v>121</v>
      </c>
      <c r="AN173" s="817">
        <f t="shared" si="110"/>
        <v>0</v>
      </c>
      <c r="AO173" s="817">
        <f t="shared" si="111"/>
        <v>0</v>
      </c>
      <c r="AP173" s="817">
        <f t="shared" si="112"/>
        <v>0</v>
      </c>
      <c r="AQ173" s="817"/>
      <c r="AR173" s="816">
        <f t="shared" si="92"/>
        <v>0.14285714285714285</v>
      </c>
      <c r="AS173" s="817" t="s">
        <v>100</v>
      </c>
      <c r="AT173" s="820">
        <f>1/1</f>
        <v>1</v>
      </c>
      <c r="AU173" s="825" t="s">
        <v>1340</v>
      </c>
      <c r="AV173" s="825" t="s">
        <v>1180</v>
      </c>
      <c r="AW173" s="821" t="str">
        <f t="shared" si="113"/>
        <v>ALTO</v>
      </c>
      <c r="AX173" s="822">
        <f t="shared" si="114"/>
        <v>0.14285714285714285</v>
      </c>
      <c r="AY173" s="830" t="s">
        <v>246</v>
      </c>
      <c r="AZ173" s="316">
        <f t="shared" si="115"/>
        <v>0.9514285714285714</v>
      </c>
      <c r="BA173" s="316">
        <f t="shared" si="116"/>
        <v>0.14144271570014144</v>
      </c>
      <c r="BB173" s="316">
        <f t="shared" si="117"/>
        <v>5.1640209523809516E-2</v>
      </c>
      <c r="BC173" s="15"/>
      <c r="BD173" s="822">
        <f t="shared" si="118"/>
        <v>0.42857142857142855</v>
      </c>
      <c r="BE173" s="817" t="s">
        <v>100</v>
      </c>
      <c r="BF173" s="827">
        <v>1</v>
      </c>
      <c r="BG173" s="825" t="s">
        <v>1341</v>
      </c>
      <c r="BH173" s="825" t="s">
        <v>1180</v>
      </c>
      <c r="BI173" s="317" t="str">
        <f t="shared" si="93"/>
        <v>ALTO</v>
      </c>
      <c r="BJ173" s="827">
        <f t="shared" si="119"/>
        <v>0.42857142857142855</v>
      </c>
      <c r="BK173" s="813" t="s">
        <v>1342</v>
      </c>
      <c r="BL173" s="828">
        <f t="shared" si="94"/>
        <v>6.4350064350064351E-2</v>
      </c>
      <c r="BM173" s="828">
        <f t="shared" si="95"/>
        <v>0.43285714285714283</v>
      </c>
      <c r="BN173" s="828">
        <f t="shared" si="96"/>
        <v>1.185597238285601</v>
      </c>
      <c r="BO173" s="317"/>
      <c r="BP173" s="853">
        <f t="shared" si="122"/>
        <v>0.42857142857142855</v>
      </c>
      <c r="BQ173" s="854" t="s">
        <v>105</v>
      </c>
      <c r="BR173" s="894">
        <f>1/3</f>
        <v>0.33333333333333331</v>
      </c>
      <c r="BS173" s="890" t="s">
        <v>1343</v>
      </c>
      <c r="BT173" s="890" t="s">
        <v>1180</v>
      </c>
      <c r="BU173" s="907" t="str">
        <f t="shared" si="120"/>
        <v>BAJO</v>
      </c>
      <c r="BV173" s="875">
        <f t="shared" si="104"/>
        <v>0.14285714285714285</v>
      </c>
      <c r="BW173" s="859" t="s">
        <v>1344</v>
      </c>
      <c r="BX173" s="857">
        <f t="shared" si="97"/>
        <v>0.9514285714285714</v>
      </c>
      <c r="BY173" s="857">
        <f t="shared" si="98"/>
        <v>0.14144271570014144</v>
      </c>
      <c r="BZ173" s="857">
        <f t="shared" si="99"/>
        <v>5.1640209523809516E-2</v>
      </c>
      <c r="CA173" s="857">
        <f t="shared" si="100"/>
        <v>5.3896103896103893E-2</v>
      </c>
      <c r="CB173" s="16">
        <f t="shared" si="101"/>
        <v>0.8571428571428571</v>
      </c>
      <c r="CC173" s="16">
        <f t="shared" si="102"/>
        <v>0.14285714285714285</v>
      </c>
      <c r="CD173" s="16">
        <f t="shared" si="105"/>
        <v>1</v>
      </c>
      <c r="CE173" s="16">
        <f t="shared" si="106"/>
        <v>0.71428571428571419</v>
      </c>
      <c r="CF173" s="16" t="e">
        <f>SUM(#REF!/(CC173+CB173))</f>
        <v>#REF!</v>
      </c>
      <c r="CG173" s="17"/>
      <c r="CH173" s="17"/>
      <c r="CI173" s="17"/>
      <c r="CJ173" s="17"/>
      <c r="CK173" s="3" t="s">
        <v>165</v>
      </c>
      <c r="CV173" s="346">
        <f t="shared" si="121"/>
        <v>1</v>
      </c>
    </row>
    <row r="174" spans="1:100" s="1" customFormat="1" ht="65.099999999999994" customHeight="1" thickBot="1" x14ac:dyDescent="0.3">
      <c r="A174" s="356" t="s">
        <v>79</v>
      </c>
      <c r="B174" s="356" t="s">
        <v>80</v>
      </c>
      <c r="C174" s="356" t="s">
        <v>81</v>
      </c>
      <c r="D174" s="356" t="s">
        <v>82</v>
      </c>
      <c r="E174" s="356" t="s">
        <v>83</v>
      </c>
      <c r="F174" s="356" t="s">
        <v>84</v>
      </c>
      <c r="G174" s="356" t="s">
        <v>85</v>
      </c>
      <c r="H174" s="356" t="s">
        <v>86</v>
      </c>
      <c r="I174" s="356" t="s">
        <v>87</v>
      </c>
      <c r="J174" s="356" t="s">
        <v>152</v>
      </c>
      <c r="K174" s="357" t="s">
        <v>5</v>
      </c>
      <c r="L174" s="357" t="s">
        <v>1307</v>
      </c>
      <c r="M174" s="357" t="s">
        <v>201</v>
      </c>
      <c r="N174" s="367" t="s">
        <v>91</v>
      </c>
      <c r="O174" s="367" t="s">
        <v>202</v>
      </c>
      <c r="P174" s="930">
        <v>39542136.277533107</v>
      </c>
      <c r="Q174" s="357" t="s">
        <v>543</v>
      </c>
      <c r="R174" s="357" t="s">
        <v>156</v>
      </c>
      <c r="S174" s="378">
        <v>1</v>
      </c>
      <c r="T174" s="369" t="s">
        <v>203</v>
      </c>
      <c r="U174" s="357" t="s">
        <v>204</v>
      </c>
      <c r="V174" s="357" t="s">
        <v>98</v>
      </c>
      <c r="W174" s="497" t="s">
        <v>205</v>
      </c>
      <c r="X174" s="432">
        <v>0</v>
      </c>
      <c r="Y174" s="432">
        <v>0</v>
      </c>
      <c r="Z174" s="432">
        <v>0</v>
      </c>
      <c r="AA174" s="444">
        <v>1</v>
      </c>
      <c r="AB174" s="814">
        <v>6.66</v>
      </c>
      <c r="AC174" s="815">
        <v>0.99009900990099009</v>
      </c>
      <c r="AD174" s="815">
        <v>0.36148146666666664</v>
      </c>
      <c r="AE174" s="413">
        <v>0.37727272727272726</v>
      </c>
      <c r="AF174" s="816">
        <f t="shared" si="91"/>
        <v>0</v>
      </c>
      <c r="AG174" s="817" t="s">
        <v>146</v>
      </c>
      <c r="AH174" s="820">
        <v>0</v>
      </c>
      <c r="AI174" s="817"/>
      <c r="AJ174" s="817"/>
      <c r="AK174" s="817"/>
      <c r="AL174" s="816">
        <f t="shared" si="109"/>
        <v>0</v>
      </c>
      <c r="AM174" s="819" t="s">
        <v>121</v>
      </c>
      <c r="AN174" s="817">
        <f t="shared" si="110"/>
        <v>0</v>
      </c>
      <c r="AO174" s="817">
        <f t="shared" si="111"/>
        <v>0</v>
      </c>
      <c r="AP174" s="817">
        <f t="shared" si="112"/>
        <v>0</v>
      </c>
      <c r="AQ174" s="817"/>
      <c r="AR174" s="816">
        <f t="shared" si="92"/>
        <v>0</v>
      </c>
      <c r="AS174" s="817" t="s">
        <v>146</v>
      </c>
      <c r="AT174" s="820">
        <v>0</v>
      </c>
      <c r="AU174" s="825"/>
      <c r="AV174" s="831"/>
      <c r="AW174" s="821"/>
      <c r="AX174" s="822">
        <f t="shared" si="114"/>
        <v>0</v>
      </c>
      <c r="AY174" s="830" t="s">
        <v>121</v>
      </c>
      <c r="AZ174" s="316">
        <f t="shared" si="115"/>
        <v>0</v>
      </c>
      <c r="BA174" s="316">
        <f t="shared" si="116"/>
        <v>0</v>
      </c>
      <c r="BB174" s="316">
        <f t="shared" si="117"/>
        <v>0</v>
      </c>
      <c r="BC174" s="15"/>
      <c r="BD174" s="822">
        <f t="shared" si="118"/>
        <v>0</v>
      </c>
      <c r="BE174" s="817" t="s">
        <v>146</v>
      </c>
      <c r="BF174" s="832"/>
      <c r="BG174" s="830" t="s">
        <v>121</v>
      </c>
      <c r="BH174" s="830" t="s">
        <v>121</v>
      </c>
      <c r="BI174" s="317" t="str">
        <f t="shared" si="93"/>
        <v>BAJO</v>
      </c>
      <c r="BJ174" s="827">
        <f t="shared" si="119"/>
        <v>0</v>
      </c>
      <c r="BK174" s="317" t="s">
        <v>149</v>
      </c>
      <c r="BL174" s="828">
        <f t="shared" si="94"/>
        <v>0</v>
      </c>
      <c r="BM174" s="828">
        <f t="shared" si="95"/>
        <v>0</v>
      </c>
      <c r="BN174" s="828">
        <f t="shared" si="96"/>
        <v>0</v>
      </c>
      <c r="BO174" s="317"/>
      <c r="BP174" s="853">
        <f t="shared" si="122"/>
        <v>1</v>
      </c>
      <c r="BQ174" s="854" t="s">
        <v>105</v>
      </c>
      <c r="BR174" s="894">
        <v>1</v>
      </c>
      <c r="BS174" s="890" t="s">
        <v>1345</v>
      </c>
      <c r="BT174" s="890" t="s">
        <v>1346</v>
      </c>
      <c r="BU174" s="905" t="str">
        <f t="shared" si="120"/>
        <v>ALTO</v>
      </c>
      <c r="BV174" s="875">
        <f t="shared" si="104"/>
        <v>1</v>
      </c>
      <c r="BW174" s="859" t="s">
        <v>1347</v>
      </c>
      <c r="BX174" s="857">
        <f t="shared" si="97"/>
        <v>6.66</v>
      </c>
      <c r="BY174" s="857">
        <f t="shared" si="98"/>
        <v>0.99009900990099009</v>
      </c>
      <c r="BZ174" s="857">
        <f t="shared" si="99"/>
        <v>0.36148146666666664</v>
      </c>
      <c r="CA174" s="857">
        <f t="shared" si="100"/>
        <v>0.37727272727272726</v>
      </c>
      <c r="CB174" s="16">
        <f t="shared" si="101"/>
        <v>1</v>
      </c>
      <c r="CC174" s="16">
        <f t="shared" si="102"/>
        <v>0</v>
      </c>
      <c r="CD174" s="16">
        <f t="shared" ref="CD174:CD205" si="123">SUM(X174+Y174+Z174+AA174)</f>
        <v>1</v>
      </c>
      <c r="CE174" s="16">
        <f t="shared" si="106"/>
        <v>1</v>
      </c>
      <c r="CF174" s="16" t="e">
        <f>SUM(#REF!/(CC174+CB174))</f>
        <v>#REF!</v>
      </c>
      <c r="CG174" s="17"/>
      <c r="CH174" s="17"/>
      <c r="CI174" s="17"/>
      <c r="CJ174" s="17"/>
      <c r="CK174" s="3" t="s">
        <v>165</v>
      </c>
      <c r="CV174" s="346">
        <f t="shared" si="121"/>
        <v>1</v>
      </c>
    </row>
    <row r="175" spans="1:100" s="1" customFormat="1" ht="65.099999999999994" customHeight="1" x14ac:dyDescent="0.25">
      <c r="A175" s="354" t="s">
        <v>79</v>
      </c>
      <c r="B175" s="354" t="s">
        <v>80</v>
      </c>
      <c r="C175" s="354" t="s">
        <v>81</v>
      </c>
      <c r="D175" s="354" t="s">
        <v>82</v>
      </c>
      <c r="E175" s="354" t="s">
        <v>83</v>
      </c>
      <c r="F175" s="354" t="s">
        <v>84</v>
      </c>
      <c r="G175" s="354" t="s">
        <v>85</v>
      </c>
      <c r="H175" s="354" t="s">
        <v>86</v>
      </c>
      <c r="I175" s="354" t="s">
        <v>87</v>
      </c>
      <c r="J175" s="354" t="s">
        <v>152</v>
      </c>
      <c r="K175" s="348" t="s">
        <v>6</v>
      </c>
      <c r="L175" s="348" t="s">
        <v>89</v>
      </c>
      <c r="M175" s="686" t="s">
        <v>1348</v>
      </c>
      <c r="N175" s="361" t="s">
        <v>541</v>
      </c>
      <c r="O175" s="361" t="s">
        <v>445</v>
      </c>
      <c r="P175" s="922">
        <v>39542136.277533107</v>
      </c>
      <c r="Q175" s="364" t="s">
        <v>94</v>
      </c>
      <c r="R175" s="364" t="s">
        <v>213</v>
      </c>
      <c r="S175" s="348">
        <v>2</v>
      </c>
      <c r="T175" s="355" t="s">
        <v>1349</v>
      </c>
      <c r="U175" s="355" t="s">
        <v>1350</v>
      </c>
      <c r="V175" s="348" t="s">
        <v>119</v>
      </c>
      <c r="W175" s="355" t="s">
        <v>1351</v>
      </c>
      <c r="X175" s="430">
        <v>0</v>
      </c>
      <c r="Y175" s="430">
        <v>0</v>
      </c>
      <c r="Z175" s="430">
        <v>0.5</v>
      </c>
      <c r="AA175" s="431">
        <v>0.5</v>
      </c>
      <c r="AB175" s="525">
        <v>10</v>
      </c>
      <c r="AC175" s="413">
        <v>1.2987012987012987</v>
      </c>
      <c r="AD175" s="413">
        <v>0.48333300000000001</v>
      </c>
      <c r="AE175" s="413">
        <v>0.37727272727272726</v>
      </c>
      <c r="AF175" s="692">
        <f t="shared" si="91"/>
        <v>0</v>
      </c>
      <c r="AG175" s="693" t="s">
        <v>146</v>
      </c>
      <c r="AH175" s="698">
        <v>0</v>
      </c>
      <c r="AI175" s="693"/>
      <c r="AJ175" s="693"/>
      <c r="AK175" s="693"/>
      <c r="AL175" s="692">
        <f t="shared" si="109"/>
        <v>0</v>
      </c>
      <c r="AM175" s="697" t="s">
        <v>121</v>
      </c>
      <c r="AN175" s="693">
        <f t="shared" si="110"/>
        <v>0</v>
      </c>
      <c r="AO175" s="693">
        <f t="shared" si="111"/>
        <v>0</v>
      </c>
      <c r="AP175" s="693">
        <f t="shared" si="112"/>
        <v>0</v>
      </c>
      <c r="AQ175" s="693"/>
      <c r="AR175" s="401">
        <f t="shared" si="92"/>
        <v>0</v>
      </c>
      <c r="AS175" s="402" t="s">
        <v>146</v>
      </c>
      <c r="AT175" s="405">
        <v>0</v>
      </c>
      <c r="AU175" s="631" t="s">
        <v>1352</v>
      </c>
      <c r="AV175" s="631" t="s">
        <v>1353</v>
      </c>
      <c r="AW175" s="729"/>
      <c r="AX175" s="397">
        <f t="shared" si="114"/>
        <v>0</v>
      </c>
      <c r="AY175" s="400" t="s">
        <v>121</v>
      </c>
      <c r="AZ175" s="398">
        <f t="shared" si="115"/>
        <v>0</v>
      </c>
      <c r="BA175" s="398">
        <f t="shared" si="116"/>
        <v>0</v>
      </c>
      <c r="BB175" s="398">
        <f t="shared" si="117"/>
        <v>0</v>
      </c>
      <c r="BC175" s="15"/>
      <c r="BD175" s="14">
        <f t="shared" si="118"/>
        <v>0.5</v>
      </c>
      <c r="BE175" s="677" t="s">
        <v>1354</v>
      </c>
      <c r="BF175" s="681">
        <f>1/1</f>
        <v>1</v>
      </c>
      <c r="BG175" s="647" t="s">
        <v>1355</v>
      </c>
      <c r="BH175" s="658"/>
      <c r="BI175" s="658" t="str">
        <f t="shared" si="93"/>
        <v>ALTO</v>
      </c>
      <c r="BJ175" s="681">
        <f t="shared" si="119"/>
        <v>0.5</v>
      </c>
      <c r="BK175" s="647" t="s">
        <v>1356</v>
      </c>
      <c r="BL175" s="682">
        <f t="shared" si="94"/>
        <v>0.05</v>
      </c>
      <c r="BM175" s="682">
        <f t="shared" si="95"/>
        <v>0.38500000000000001</v>
      </c>
      <c r="BN175" s="682">
        <f t="shared" si="96"/>
        <v>1.0344834720575669</v>
      </c>
      <c r="BO175" s="658"/>
      <c r="BP175" s="853">
        <f t="shared" si="122"/>
        <v>0.5</v>
      </c>
      <c r="BQ175" s="854" t="s">
        <v>105</v>
      </c>
      <c r="BR175" s="876">
        <f>100/100</f>
        <v>1</v>
      </c>
      <c r="BS175" s="890" t="s">
        <v>1357</v>
      </c>
      <c r="BT175" s="890" t="s">
        <v>1358</v>
      </c>
      <c r="BU175" s="905" t="str">
        <f t="shared" si="120"/>
        <v>ALTO</v>
      </c>
      <c r="BV175" s="875">
        <f t="shared" si="104"/>
        <v>0.5</v>
      </c>
      <c r="BW175" s="859" t="s">
        <v>1359</v>
      </c>
      <c r="BX175" s="857">
        <f t="shared" si="97"/>
        <v>5</v>
      </c>
      <c r="BY175" s="857">
        <f t="shared" si="98"/>
        <v>0.64935064935064934</v>
      </c>
      <c r="BZ175" s="857">
        <f t="shared" si="99"/>
        <v>0.24166650000000001</v>
      </c>
      <c r="CA175" s="857">
        <f t="shared" si="100"/>
        <v>0.18863636363636363</v>
      </c>
      <c r="CB175" s="16">
        <f t="shared" si="101"/>
        <v>1</v>
      </c>
      <c r="CC175" s="16">
        <f t="shared" si="102"/>
        <v>0</v>
      </c>
      <c r="CD175" s="16">
        <f t="shared" si="123"/>
        <v>1</v>
      </c>
      <c r="CE175" s="16">
        <f t="shared" si="106"/>
        <v>1</v>
      </c>
      <c r="CF175" s="16" t="e">
        <f>SUM(#REF!/(CC175+CB175))</f>
        <v>#REF!</v>
      </c>
      <c r="CG175" s="17"/>
      <c r="CH175" s="17"/>
      <c r="CI175" s="17"/>
      <c r="CJ175" s="17"/>
      <c r="CV175" s="346">
        <f t="shared" si="121"/>
        <v>1</v>
      </c>
    </row>
    <row r="176" spans="1:100" s="1" customFormat="1" ht="65.099999999999994" customHeight="1" x14ac:dyDescent="0.25">
      <c r="A176" s="354" t="s">
        <v>79</v>
      </c>
      <c r="B176" s="354" t="s">
        <v>80</v>
      </c>
      <c r="C176" s="354" t="s">
        <v>81</v>
      </c>
      <c r="D176" s="354" t="s">
        <v>82</v>
      </c>
      <c r="E176" s="354" t="s">
        <v>83</v>
      </c>
      <c r="F176" s="354" t="s">
        <v>84</v>
      </c>
      <c r="G176" s="354" t="s">
        <v>85</v>
      </c>
      <c r="H176" s="354" t="s">
        <v>86</v>
      </c>
      <c r="I176" s="354" t="s">
        <v>87</v>
      </c>
      <c r="J176" s="354" t="s">
        <v>152</v>
      </c>
      <c r="K176" s="348" t="s">
        <v>6</v>
      </c>
      <c r="L176" s="348" t="s">
        <v>89</v>
      </c>
      <c r="M176" s="686" t="s">
        <v>1360</v>
      </c>
      <c r="N176" s="361" t="s">
        <v>541</v>
      </c>
      <c r="O176" s="361" t="s">
        <v>1361</v>
      </c>
      <c r="P176" s="922">
        <v>39542136.277533107</v>
      </c>
      <c r="Q176" s="364" t="s">
        <v>94</v>
      </c>
      <c r="R176" s="364" t="s">
        <v>213</v>
      </c>
      <c r="S176" s="348">
        <v>2</v>
      </c>
      <c r="T176" s="355" t="s">
        <v>1362</v>
      </c>
      <c r="U176" s="355" t="s">
        <v>1363</v>
      </c>
      <c r="V176" s="348" t="s">
        <v>119</v>
      </c>
      <c r="W176" s="355" t="s">
        <v>1364</v>
      </c>
      <c r="X176" s="430">
        <v>0</v>
      </c>
      <c r="Y176" s="430">
        <v>0.5</v>
      </c>
      <c r="Z176" s="430">
        <v>0</v>
      </c>
      <c r="AA176" s="431">
        <v>0.5</v>
      </c>
      <c r="AB176" s="525">
        <v>10</v>
      </c>
      <c r="AC176" s="413">
        <v>1.2987012987012987</v>
      </c>
      <c r="AD176" s="413">
        <v>0.48333300000000001</v>
      </c>
      <c r="AE176" s="413">
        <v>0.37727272727272726</v>
      </c>
      <c r="AF176" s="692">
        <f t="shared" si="91"/>
        <v>0</v>
      </c>
      <c r="AG176" s="693" t="s">
        <v>146</v>
      </c>
      <c r="AH176" s="698">
        <v>0</v>
      </c>
      <c r="AI176" s="693"/>
      <c r="AJ176" s="693"/>
      <c r="AK176" s="693"/>
      <c r="AL176" s="692">
        <f t="shared" si="109"/>
        <v>0</v>
      </c>
      <c r="AM176" s="697" t="s">
        <v>121</v>
      </c>
      <c r="AN176" s="693">
        <f t="shared" si="110"/>
        <v>0</v>
      </c>
      <c r="AO176" s="693">
        <f t="shared" si="111"/>
        <v>0</v>
      </c>
      <c r="AP176" s="693">
        <f t="shared" si="112"/>
        <v>0</v>
      </c>
      <c r="AQ176" s="693"/>
      <c r="AR176" s="401">
        <f t="shared" si="92"/>
        <v>0.5</v>
      </c>
      <c r="AS176" s="402" t="s">
        <v>100</v>
      </c>
      <c r="AT176" s="405">
        <v>0</v>
      </c>
      <c r="AU176" s="631" t="s">
        <v>1365</v>
      </c>
      <c r="AV176" s="743"/>
      <c r="AW176" s="729" t="str">
        <f t="shared" si="113"/>
        <v>BAJO</v>
      </c>
      <c r="AX176" s="397">
        <f t="shared" si="114"/>
        <v>0</v>
      </c>
      <c r="AY176" s="400" t="s">
        <v>1366</v>
      </c>
      <c r="AZ176" s="398">
        <f t="shared" si="115"/>
        <v>0</v>
      </c>
      <c r="BA176" s="398">
        <f t="shared" si="116"/>
        <v>0</v>
      </c>
      <c r="BB176" s="398">
        <f t="shared" si="117"/>
        <v>0</v>
      </c>
      <c r="BC176" s="15"/>
      <c r="BD176" s="14">
        <f t="shared" si="118"/>
        <v>0</v>
      </c>
      <c r="BE176" s="677" t="s">
        <v>146</v>
      </c>
      <c r="BF176" s="681"/>
      <c r="BG176" s="647" t="s">
        <v>1367</v>
      </c>
      <c r="BH176" s="647" t="s">
        <v>1368</v>
      </c>
      <c r="BI176" s="658" t="str">
        <f t="shared" si="93"/>
        <v>BAJO</v>
      </c>
      <c r="BJ176" s="681">
        <f t="shared" si="119"/>
        <v>0</v>
      </c>
      <c r="BK176" s="647" t="s">
        <v>1369</v>
      </c>
      <c r="BL176" s="682">
        <f t="shared" si="94"/>
        <v>0</v>
      </c>
      <c r="BM176" s="682">
        <f t="shared" si="95"/>
        <v>0</v>
      </c>
      <c r="BN176" s="682">
        <f t="shared" si="96"/>
        <v>0</v>
      </c>
      <c r="BO176" s="658"/>
      <c r="BP176" s="853">
        <f t="shared" si="122"/>
        <v>0.5</v>
      </c>
      <c r="BQ176" s="854" t="s">
        <v>105</v>
      </c>
      <c r="BR176" s="876">
        <f>100/100</f>
        <v>1</v>
      </c>
      <c r="BS176" s="890" t="s">
        <v>1370</v>
      </c>
      <c r="BT176" s="890" t="s">
        <v>1371</v>
      </c>
      <c r="BU176" s="905" t="str">
        <f t="shared" si="120"/>
        <v>ALTO</v>
      </c>
      <c r="BV176" s="875">
        <f t="shared" si="104"/>
        <v>0.5</v>
      </c>
      <c r="BW176" s="859" t="s">
        <v>1372</v>
      </c>
      <c r="BX176" s="857">
        <f t="shared" si="97"/>
        <v>5</v>
      </c>
      <c r="BY176" s="857">
        <f t="shared" si="98"/>
        <v>0.64935064935064934</v>
      </c>
      <c r="BZ176" s="857">
        <f t="shared" si="99"/>
        <v>0.24166650000000001</v>
      </c>
      <c r="CA176" s="857">
        <f t="shared" si="100"/>
        <v>0.18863636363636363</v>
      </c>
      <c r="CB176" s="16">
        <f t="shared" si="101"/>
        <v>0.5</v>
      </c>
      <c r="CC176" s="16">
        <f t="shared" si="102"/>
        <v>0.5</v>
      </c>
      <c r="CD176" s="16">
        <f t="shared" si="123"/>
        <v>1</v>
      </c>
      <c r="CE176" s="16">
        <f t="shared" si="106"/>
        <v>0.5</v>
      </c>
      <c r="CF176" s="16" t="e">
        <f>SUM(#REF!/(CC176+CB176))</f>
        <v>#REF!</v>
      </c>
      <c r="CG176" s="17"/>
      <c r="CH176" s="17"/>
      <c r="CI176" s="17"/>
      <c r="CJ176" s="17"/>
      <c r="CV176" s="346">
        <f t="shared" si="121"/>
        <v>1</v>
      </c>
    </row>
    <row r="177" spans="1:100" s="1" customFormat="1" ht="145.5" customHeight="1" x14ac:dyDescent="0.25">
      <c r="A177" s="354" t="s">
        <v>79</v>
      </c>
      <c r="B177" s="354" t="s">
        <v>80</v>
      </c>
      <c r="C177" s="354" t="s">
        <v>81</v>
      </c>
      <c r="D177" s="354" t="s">
        <v>82</v>
      </c>
      <c r="E177" s="354" t="s">
        <v>83</v>
      </c>
      <c r="F177" s="354" t="s">
        <v>84</v>
      </c>
      <c r="G177" s="354" t="s">
        <v>85</v>
      </c>
      <c r="H177" s="354" t="s">
        <v>86</v>
      </c>
      <c r="I177" s="354" t="s">
        <v>87</v>
      </c>
      <c r="J177" s="354" t="s">
        <v>152</v>
      </c>
      <c r="K177" s="348" t="s">
        <v>6</v>
      </c>
      <c r="L177" s="348" t="s">
        <v>89</v>
      </c>
      <c r="M177" s="686" t="s">
        <v>1373</v>
      </c>
      <c r="N177" s="361" t="s">
        <v>541</v>
      </c>
      <c r="O177" s="361" t="s">
        <v>1361</v>
      </c>
      <c r="P177" s="922">
        <v>39542136.277533107</v>
      </c>
      <c r="Q177" s="364" t="s">
        <v>94</v>
      </c>
      <c r="R177" s="364" t="s">
        <v>213</v>
      </c>
      <c r="S177" s="348">
        <v>4</v>
      </c>
      <c r="T177" s="355" t="s">
        <v>1374</v>
      </c>
      <c r="U177" s="355" t="s">
        <v>1375</v>
      </c>
      <c r="V177" s="348" t="s">
        <v>119</v>
      </c>
      <c r="W177" s="355" t="s">
        <v>1376</v>
      </c>
      <c r="X177" s="430">
        <v>0</v>
      </c>
      <c r="Y177" s="430">
        <v>0.25</v>
      </c>
      <c r="Z177" s="430">
        <v>0.25</v>
      </c>
      <c r="AA177" s="431">
        <v>0.5</v>
      </c>
      <c r="AB177" s="525">
        <v>10</v>
      </c>
      <c r="AC177" s="413">
        <v>1.2987012987012987</v>
      </c>
      <c r="AD177" s="413">
        <v>0.48333300000000001</v>
      </c>
      <c r="AE177" s="413">
        <v>0.37727272727272726</v>
      </c>
      <c r="AF177" s="692">
        <f t="shared" si="91"/>
        <v>0</v>
      </c>
      <c r="AG177" s="693" t="s">
        <v>146</v>
      </c>
      <c r="AH177" s="698">
        <v>0</v>
      </c>
      <c r="AI177" s="693"/>
      <c r="AJ177" s="693"/>
      <c r="AK177" s="693"/>
      <c r="AL177" s="692">
        <f t="shared" si="109"/>
        <v>0</v>
      </c>
      <c r="AM177" s="697" t="s">
        <v>121</v>
      </c>
      <c r="AN177" s="693">
        <f t="shared" si="110"/>
        <v>0</v>
      </c>
      <c r="AO177" s="693">
        <f t="shared" si="111"/>
        <v>0</v>
      </c>
      <c r="AP177" s="693">
        <f t="shared" si="112"/>
        <v>0</v>
      </c>
      <c r="AQ177" s="693"/>
      <c r="AR177" s="401">
        <f t="shared" si="92"/>
        <v>0.25</v>
      </c>
      <c r="AS177" s="402" t="s">
        <v>100</v>
      </c>
      <c r="AT177" s="405">
        <v>0</v>
      </c>
      <c r="AU177" s="631" t="s">
        <v>1377</v>
      </c>
      <c r="AV177" s="743"/>
      <c r="AW177" s="729" t="str">
        <f t="shared" si="113"/>
        <v>BAJO</v>
      </c>
      <c r="AX177" s="397">
        <f t="shared" si="114"/>
        <v>0</v>
      </c>
      <c r="AY177" s="400" t="s">
        <v>1378</v>
      </c>
      <c r="AZ177" s="398">
        <f t="shared" si="115"/>
        <v>0</v>
      </c>
      <c r="BA177" s="398">
        <f t="shared" si="116"/>
        <v>0</v>
      </c>
      <c r="BB177" s="398">
        <f t="shared" si="117"/>
        <v>0</v>
      </c>
      <c r="BC177" s="15"/>
      <c r="BD177" s="14">
        <f t="shared" si="118"/>
        <v>0.25</v>
      </c>
      <c r="BE177" s="677" t="s">
        <v>100</v>
      </c>
      <c r="BF177" s="681">
        <v>1</v>
      </c>
      <c r="BG177" s="647" t="s">
        <v>1379</v>
      </c>
      <c r="BH177" s="647" t="s">
        <v>1368</v>
      </c>
      <c r="BI177" s="658" t="str">
        <f t="shared" si="93"/>
        <v>ALTO</v>
      </c>
      <c r="BJ177" s="681">
        <f t="shared" si="119"/>
        <v>0.25</v>
      </c>
      <c r="BK177" s="647" t="s">
        <v>1380</v>
      </c>
      <c r="BL177" s="682">
        <f t="shared" si="94"/>
        <v>2.5000000000000001E-2</v>
      </c>
      <c r="BM177" s="682">
        <f t="shared" si="95"/>
        <v>0.1925</v>
      </c>
      <c r="BN177" s="682">
        <f t="shared" si="96"/>
        <v>0.51724173602878343</v>
      </c>
      <c r="BO177" s="658"/>
      <c r="BP177" s="853">
        <f t="shared" si="122"/>
        <v>0.5</v>
      </c>
      <c r="BQ177" s="854" t="s">
        <v>105</v>
      </c>
      <c r="BR177" s="876">
        <f>100/100</f>
        <v>1</v>
      </c>
      <c r="BS177" s="890" t="s">
        <v>1381</v>
      </c>
      <c r="BT177" s="890" t="s">
        <v>1382</v>
      </c>
      <c r="BU177" s="905" t="str">
        <f t="shared" si="120"/>
        <v>ALTO</v>
      </c>
      <c r="BV177" s="875">
        <f t="shared" ref="BV177:BV240" si="124">BP177*BR177</f>
        <v>0.5</v>
      </c>
      <c r="BW177" s="859" t="s">
        <v>1383</v>
      </c>
      <c r="BX177" s="857">
        <f t="shared" si="97"/>
        <v>5</v>
      </c>
      <c r="BY177" s="857">
        <f t="shared" si="98"/>
        <v>0.64935064935064934</v>
      </c>
      <c r="BZ177" s="857">
        <f t="shared" si="99"/>
        <v>0.24166650000000001</v>
      </c>
      <c r="CA177" s="857">
        <f t="shared" si="100"/>
        <v>0.18863636363636363</v>
      </c>
      <c r="CB177" s="16">
        <f t="shared" si="101"/>
        <v>0.75</v>
      </c>
      <c r="CC177" s="16">
        <f t="shared" si="102"/>
        <v>0.25</v>
      </c>
      <c r="CD177" s="16">
        <f t="shared" si="123"/>
        <v>1</v>
      </c>
      <c r="CE177" s="16">
        <f t="shared" si="106"/>
        <v>0.75</v>
      </c>
      <c r="CF177" s="16" t="e">
        <f>SUM(#REF!/(CC177+CB177))</f>
        <v>#REF!</v>
      </c>
      <c r="CG177" s="17"/>
      <c r="CH177" s="17"/>
      <c r="CI177" s="17"/>
      <c r="CJ177" s="17"/>
      <c r="CV177" s="346">
        <f t="shared" si="121"/>
        <v>1</v>
      </c>
    </row>
    <row r="178" spans="1:100" s="3" customFormat="1" ht="65.099999999999994" customHeight="1" x14ac:dyDescent="0.25">
      <c r="A178" s="356" t="s">
        <v>79</v>
      </c>
      <c r="B178" s="356" t="s">
        <v>80</v>
      </c>
      <c r="C178" s="356" t="s">
        <v>81</v>
      </c>
      <c r="D178" s="356" t="s">
        <v>82</v>
      </c>
      <c r="E178" s="356" t="s">
        <v>83</v>
      </c>
      <c r="F178" s="356" t="s">
        <v>84</v>
      </c>
      <c r="G178" s="356" t="s">
        <v>85</v>
      </c>
      <c r="H178" s="356" t="s">
        <v>86</v>
      </c>
      <c r="I178" s="356" t="s">
        <v>87</v>
      </c>
      <c r="J178" s="356" t="s">
        <v>152</v>
      </c>
      <c r="K178" s="357" t="s">
        <v>6</v>
      </c>
      <c r="L178" s="357" t="s">
        <v>89</v>
      </c>
      <c r="M178" s="357" t="s">
        <v>153</v>
      </c>
      <c r="N178" s="367" t="s">
        <v>91</v>
      </c>
      <c r="O178" s="367" t="s">
        <v>154</v>
      </c>
      <c r="P178" s="930">
        <v>39542136.277533107</v>
      </c>
      <c r="Q178" s="368" t="s">
        <v>94</v>
      </c>
      <c r="R178" s="357" t="s">
        <v>156</v>
      </c>
      <c r="S178" s="357">
        <v>3</v>
      </c>
      <c r="T178" s="369" t="s">
        <v>157</v>
      </c>
      <c r="U178" s="357" t="s">
        <v>158</v>
      </c>
      <c r="V178" s="370" t="s">
        <v>98</v>
      </c>
      <c r="W178" s="497" t="s">
        <v>159</v>
      </c>
      <c r="X178" s="432">
        <v>0</v>
      </c>
      <c r="Y178" s="432">
        <v>0.34</v>
      </c>
      <c r="Z178" s="432">
        <v>0.33</v>
      </c>
      <c r="AA178" s="444">
        <v>0.33</v>
      </c>
      <c r="AB178" s="525">
        <v>10</v>
      </c>
      <c r="AC178" s="413">
        <v>1.2987012987012987</v>
      </c>
      <c r="AD178" s="413">
        <v>0.48333300000000001</v>
      </c>
      <c r="AE178" s="413">
        <v>0.37727272727272726</v>
      </c>
      <c r="AF178" s="692">
        <f t="shared" si="91"/>
        <v>0</v>
      </c>
      <c r="AG178" s="693" t="s">
        <v>146</v>
      </c>
      <c r="AH178" s="698">
        <v>0</v>
      </c>
      <c r="AI178" s="696"/>
      <c r="AJ178" s="696"/>
      <c r="AK178" s="693"/>
      <c r="AL178" s="692">
        <f t="shared" si="109"/>
        <v>0</v>
      </c>
      <c r="AM178" s="697" t="s">
        <v>121</v>
      </c>
      <c r="AN178" s="693">
        <f t="shared" si="110"/>
        <v>0</v>
      </c>
      <c r="AO178" s="693">
        <f t="shared" si="111"/>
        <v>0</v>
      </c>
      <c r="AP178" s="693">
        <f t="shared" si="112"/>
        <v>0</v>
      </c>
      <c r="AQ178" s="696"/>
      <c r="AR178" s="401">
        <f t="shared" si="92"/>
        <v>0.34</v>
      </c>
      <c r="AS178" s="402" t="s">
        <v>100</v>
      </c>
      <c r="AT178" s="405">
        <f>1/1</f>
        <v>1</v>
      </c>
      <c r="AU178" s="631" t="s">
        <v>1384</v>
      </c>
      <c r="AV178" s="631" t="s">
        <v>1385</v>
      </c>
      <c r="AW178" s="729" t="str">
        <f t="shared" si="113"/>
        <v>ALTO</v>
      </c>
      <c r="AX178" s="397">
        <f t="shared" si="114"/>
        <v>0.34</v>
      </c>
      <c r="AY178" s="400" t="s">
        <v>714</v>
      </c>
      <c r="AZ178" s="398">
        <f t="shared" si="115"/>
        <v>3.4000000000000004</v>
      </c>
      <c r="BA178" s="398">
        <f t="shared" si="116"/>
        <v>0.44155844155844159</v>
      </c>
      <c r="BB178" s="398">
        <f t="shared" si="117"/>
        <v>0.16433322000000003</v>
      </c>
      <c r="BC178" s="18"/>
      <c r="BD178" s="14">
        <f t="shared" si="118"/>
        <v>0.33</v>
      </c>
      <c r="BE178" s="677" t="s">
        <v>100</v>
      </c>
      <c r="BF178" s="681">
        <f>1/1</f>
        <v>1</v>
      </c>
      <c r="BG178" s="680" t="s">
        <v>1386</v>
      </c>
      <c r="BH178" s="680" t="s">
        <v>1368</v>
      </c>
      <c r="BI178" s="658" t="str">
        <f t="shared" si="93"/>
        <v>ALTO</v>
      </c>
      <c r="BJ178" s="681">
        <f t="shared" si="119"/>
        <v>0.33</v>
      </c>
      <c r="BK178" s="680" t="s">
        <v>725</v>
      </c>
      <c r="BL178" s="682">
        <f t="shared" si="94"/>
        <v>3.3000000000000002E-2</v>
      </c>
      <c r="BM178" s="682">
        <f t="shared" si="95"/>
        <v>0.25409999999999999</v>
      </c>
      <c r="BN178" s="682">
        <f t="shared" si="96"/>
        <v>0.68275909155799419</v>
      </c>
      <c r="BO178" s="754"/>
      <c r="BP178" s="853">
        <f t="shared" si="122"/>
        <v>0.33</v>
      </c>
      <c r="BQ178" s="854" t="s">
        <v>105</v>
      </c>
      <c r="BR178" s="871">
        <v>1</v>
      </c>
      <c r="BS178" s="859" t="s">
        <v>1387</v>
      </c>
      <c r="BT178" s="872" t="s">
        <v>1388</v>
      </c>
      <c r="BU178" s="905" t="str">
        <f t="shared" si="120"/>
        <v>ALTO</v>
      </c>
      <c r="BV178" s="875">
        <f t="shared" si="124"/>
        <v>0.33</v>
      </c>
      <c r="BW178" s="859" t="s">
        <v>336</v>
      </c>
      <c r="BX178" s="857">
        <f t="shared" si="97"/>
        <v>3.3000000000000003</v>
      </c>
      <c r="BY178" s="857">
        <f t="shared" si="98"/>
        <v>0.4285714285714286</v>
      </c>
      <c r="BZ178" s="857">
        <f t="shared" si="99"/>
        <v>0.15949989000000001</v>
      </c>
      <c r="CA178" s="857">
        <f t="shared" si="100"/>
        <v>0.1245</v>
      </c>
      <c r="CB178" s="16">
        <f t="shared" si="101"/>
        <v>0.66</v>
      </c>
      <c r="CC178" s="16">
        <f t="shared" si="102"/>
        <v>0.34</v>
      </c>
      <c r="CD178" s="16">
        <f t="shared" si="123"/>
        <v>1</v>
      </c>
      <c r="CE178" s="16">
        <f t="shared" si="106"/>
        <v>1</v>
      </c>
      <c r="CF178" s="16" t="e">
        <f>SUM(#REF!/(CC178+CB178))</f>
        <v>#REF!</v>
      </c>
      <c r="CG178" s="19"/>
      <c r="CH178" s="19"/>
      <c r="CI178" s="19"/>
      <c r="CJ178" s="19"/>
      <c r="CK178" s="3" t="s">
        <v>165</v>
      </c>
      <c r="CV178" s="346">
        <f t="shared" si="121"/>
        <v>1</v>
      </c>
    </row>
    <row r="179" spans="1:100" s="1" customFormat="1" ht="65.099999999999994" customHeight="1" x14ac:dyDescent="0.25">
      <c r="A179" s="356" t="s">
        <v>79</v>
      </c>
      <c r="B179" s="356" t="s">
        <v>80</v>
      </c>
      <c r="C179" s="356" t="s">
        <v>81</v>
      </c>
      <c r="D179" s="356" t="s">
        <v>82</v>
      </c>
      <c r="E179" s="356" t="s">
        <v>83</v>
      </c>
      <c r="F179" s="356" t="s">
        <v>84</v>
      </c>
      <c r="G179" s="356" t="s">
        <v>85</v>
      </c>
      <c r="H179" s="356" t="s">
        <v>86</v>
      </c>
      <c r="I179" s="356" t="s">
        <v>87</v>
      </c>
      <c r="J179" s="356" t="s">
        <v>88</v>
      </c>
      <c r="K179" s="357" t="s">
        <v>6</v>
      </c>
      <c r="L179" s="357" t="s">
        <v>89</v>
      </c>
      <c r="M179" s="357" t="s">
        <v>166</v>
      </c>
      <c r="N179" s="367" t="s">
        <v>91</v>
      </c>
      <c r="O179" s="367" t="s">
        <v>154</v>
      </c>
      <c r="P179" s="930">
        <v>39542136.277533107</v>
      </c>
      <c r="Q179" s="368" t="s">
        <v>94</v>
      </c>
      <c r="R179" s="357" t="s">
        <v>156</v>
      </c>
      <c r="S179" s="357">
        <v>3</v>
      </c>
      <c r="T179" s="377" t="s">
        <v>167</v>
      </c>
      <c r="U179" s="357" t="s">
        <v>168</v>
      </c>
      <c r="V179" s="357" t="s">
        <v>98</v>
      </c>
      <c r="W179" s="497" t="s">
        <v>337</v>
      </c>
      <c r="X179" s="432">
        <v>0</v>
      </c>
      <c r="Y179" s="432">
        <v>0.33</v>
      </c>
      <c r="Z179" s="432">
        <v>0.33</v>
      </c>
      <c r="AA179" s="521">
        <v>0.34</v>
      </c>
      <c r="AB179" s="525">
        <v>10</v>
      </c>
      <c r="AC179" s="413">
        <v>1.2987012987012987</v>
      </c>
      <c r="AD179" s="413">
        <v>0.48333300000000001</v>
      </c>
      <c r="AE179" s="413">
        <v>0.37727272727272726</v>
      </c>
      <c r="AF179" s="692">
        <f t="shared" si="91"/>
        <v>0</v>
      </c>
      <c r="AG179" s="693" t="s">
        <v>146</v>
      </c>
      <c r="AH179" s="698">
        <v>0</v>
      </c>
      <c r="AI179" s="693"/>
      <c r="AJ179" s="693"/>
      <c r="AK179" s="693"/>
      <c r="AL179" s="692">
        <f t="shared" si="109"/>
        <v>0</v>
      </c>
      <c r="AM179" s="697" t="s">
        <v>121</v>
      </c>
      <c r="AN179" s="693">
        <f t="shared" si="110"/>
        <v>0</v>
      </c>
      <c r="AO179" s="693">
        <f t="shared" si="111"/>
        <v>0</v>
      </c>
      <c r="AP179" s="693">
        <f t="shared" si="112"/>
        <v>0</v>
      </c>
      <c r="AQ179" s="693"/>
      <c r="AR179" s="401">
        <f t="shared" si="92"/>
        <v>0.33</v>
      </c>
      <c r="AS179" s="402" t="s">
        <v>100</v>
      </c>
      <c r="AT179" s="408">
        <f>1/1</f>
        <v>1</v>
      </c>
      <c r="AU179" s="631" t="s">
        <v>1389</v>
      </c>
      <c r="AV179" s="743"/>
      <c r="AW179" s="729" t="str">
        <f t="shared" si="113"/>
        <v>ALTO</v>
      </c>
      <c r="AX179" s="397">
        <f t="shared" si="114"/>
        <v>0.33</v>
      </c>
      <c r="AY179" s="400" t="s">
        <v>1390</v>
      </c>
      <c r="AZ179" s="398">
        <f t="shared" si="115"/>
        <v>3.3000000000000003</v>
      </c>
      <c r="BA179" s="398">
        <f t="shared" si="116"/>
        <v>0.4285714285714286</v>
      </c>
      <c r="BB179" s="398">
        <f t="shared" si="117"/>
        <v>0.15949989000000001</v>
      </c>
      <c r="BC179" s="15"/>
      <c r="BD179" s="14">
        <f t="shared" si="118"/>
        <v>0.33</v>
      </c>
      <c r="BE179" s="677" t="s">
        <v>100</v>
      </c>
      <c r="BF179" s="681">
        <v>0</v>
      </c>
      <c r="BG179" s="658"/>
      <c r="BH179" s="658"/>
      <c r="BI179" s="658" t="str">
        <f t="shared" si="93"/>
        <v>BAJO</v>
      </c>
      <c r="BJ179" s="681">
        <f t="shared" si="119"/>
        <v>0</v>
      </c>
      <c r="BK179" s="658" t="s">
        <v>1391</v>
      </c>
      <c r="BL179" s="682">
        <f t="shared" si="94"/>
        <v>0</v>
      </c>
      <c r="BM179" s="682">
        <f t="shared" si="95"/>
        <v>0</v>
      </c>
      <c r="BN179" s="682">
        <f t="shared" si="96"/>
        <v>0</v>
      </c>
      <c r="BO179" s="658"/>
      <c r="BP179" s="853">
        <f t="shared" si="122"/>
        <v>0.34</v>
      </c>
      <c r="BQ179" s="854" t="s">
        <v>105</v>
      </c>
      <c r="BR179" s="871">
        <v>0</v>
      </c>
      <c r="BS179" s="874" t="s">
        <v>1392</v>
      </c>
      <c r="BT179" s="872" t="s">
        <v>1393</v>
      </c>
      <c r="BU179" s="907" t="str">
        <f t="shared" si="120"/>
        <v>BAJO</v>
      </c>
      <c r="BV179" s="875">
        <f t="shared" si="124"/>
        <v>0</v>
      </c>
      <c r="BW179" s="859" t="s">
        <v>1394</v>
      </c>
      <c r="BX179" s="857">
        <f t="shared" si="97"/>
        <v>0</v>
      </c>
      <c r="BY179" s="857">
        <f t="shared" si="98"/>
        <v>0</v>
      </c>
      <c r="BZ179" s="857">
        <f t="shared" si="99"/>
        <v>0</v>
      </c>
      <c r="CA179" s="857">
        <f t="shared" si="100"/>
        <v>0</v>
      </c>
      <c r="CB179" s="16">
        <f t="shared" si="101"/>
        <v>0.67</v>
      </c>
      <c r="CC179" s="16">
        <f t="shared" si="102"/>
        <v>0.33</v>
      </c>
      <c r="CD179" s="16">
        <f t="shared" si="123"/>
        <v>1</v>
      </c>
      <c r="CE179" s="16">
        <f t="shared" si="106"/>
        <v>0.33</v>
      </c>
      <c r="CF179" s="16" t="e">
        <f>SUM(#REF!/(CC179+CB179))</f>
        <v>#REF!</v>
      </c>
      <c r="CG179" s="17"/>
      <c r="CH179" s="17"/>
      <c r="CI179" s="17"/>
      <c r="CJ179" s="17"/>
      <c r="CK179" s="3" t="s">
        <v>165</v>
      </c>
      <c r="CV179" s="346">
        <f t="shared" si="121"/>
        <v>1</v>
      </c>
    </row>
    <row r="180" spans="1:100" s="1" customFormat="1" ht="65.099999999999994" customHeight="1" x14ac:dyDescent="0.25">
      <c r="A180" s="356" t="s">
        <v>79</v>
      </c>
      <c r="B180" s="356" t="s">
        <v>80</v>
      </c>
      <c r="C180" s="356" t="s">
        <v>81</v>
      </c>
      <c r="D180" s="356" t="s">
        <v>82</v>
      </c>
      <c r="E180" s="356" t="s">
        <v>83</v>
      </c>
      <c r="F180" s="356" t="s">
        <v>84</v>
      </c>
      <c r="G180" s="356" t="s">
        <v>85</v>
      </c>
      <c r="H180" s="356" t="s">
        <v>86</v>
      </c>
      <c r="I180" s="356" t="s">
        <v>87</v>
      </c>
      <c r="J180" s="356" t="s">
        <v>88</v>
      </c>
      <c r="K180" s="357" t="s">
        <v>6</v>
      </c>
      <c r="L180" s="357" t="s">
        <v>89</v>
      </c>
      <c r="M180" s="357" t="s">
        <v>174</v>
      </c>
      <c r="N180" s="367" t="s">
        <v>91</v>
      </c>
      <c r="O180" s="367" t="s">
        <v>154</v>
      </c>
      <c r="P180" s="930">
        <v>39542136.277533107</v>
      </c>
      <c r="Q180" s="368" t="s">
        <v>94</v>
      </c>
      <c r="R180" s="357" t="s">
        <v>156</v>
      </c>
      <c r="S180" s="357">
        <v>3</v>
      </c>
      <c r="T180" s="371" t="s">
        <v>175</v>
      </c>
      <c r="U180" s="357" t="s">
        <v>176</v>
      </c>
      <c r="V180" s="357" t="s">
        <v>98</v>
      </c>
      <c r="W180" s="497" t="s">
        <v>342</v>
      </c>
      <c r="X180" s="432">
        <v>0</v>
      </c>
      <c r="Y180" s="432">
        <v>0.33</v>
      </c>
      <c r="Z180" s="432">
        <v>0.33</v>
      </c>
      <c r="AA180" s="444">
        <v>0.34</v>
      </c>
      <c r="AB180" s="525">
        <v>10</v>
      </c>
      <c r="AC180" s="413">
        <v>1.2987012987012987</v>
      </c>
      <c r="AD180" s="413">
        <v>0.48333300000000001</v>
      </c>
      <c r="AE180" s="413">
        <v>0.37727272727272726</v>
      </c>
      <c r="AF180" s="692">
        <f t="shared" si="91"/>
        <v>0</v>
      </c>
      <c r="AG180" s="693" t="s">
        <v>146</v>
      </c>
      <c r="AH180" s="698">
        <v>0</v>
      </c>
      <c r="AI180" s="693"/>
      <c r="AJ180" s="693"/>
      <c r="AK180" s="693"/>
      <c r="AL180" s="692">
        <f t="shared" si="109"/>
        <v>0</v>
      </c>
      <c r="AM180" s="697" t="s">
        <v>121</v>
      </c>
      <c r="AN180" s="693">
        <f t="shared" si="110"/>
        <v>0</v>
      </c>
      <c r="AO180" s="693">
        <f t="shared" si="111"/>
        <v>0</v>
      </c>
      <c r="AP180" s="693">
        <f t="shared" si="112"/>
        <v>0</v>
      </c>
      <c r="AQ180" s="693"/>
      <c r="AR180" s="401">
        <f t="shared" si="92"/>
        <v>0.33</v>
      </c>
      <c r="AS180" s="402" t="s">
        <v>100</v>
      </c>
      <c r="AT180" s="405">
        <f>1/1</f>
        <v>1</v>
      </c>
      <c r="AU180" s="631" t="s">
        <v>1395</v>
      </c>
      <c r="AV180" s="631" t="s">
        <v>1396</v>
      </c>
      <c r="AW180" s="729" t="str">
        <f t="shared" si="113"/>
        <v>ALTO</v>
      </c>
      <c r="AX180" s="397">
        <f t="shared" si="114"/>
        <v>0.33</v>
      </c>
      <c r="AY180" s="400" t="s">
        <v>714</v>
      </c>
      <c r="AZ180" s="398">
        <f t="shared" si="115"/>
        <v>3.3000000000000003</v>
      </c>
      <c r="BA180" s="398">
        <f t="shared" si="116"/>
        <v>0.4285714285714286</v>
      </c>
      <c r="BB180" s="398">
        <f t="shared" si="117"/>
        <v>0.15949989000000001</v>
      </c>
      <c r="BC180" s="15"/>
      <c r="BD180" s="14">
        <f t="shared" si="118"/>
        <v>0.33</v>
      </c>
      <c r="BE180" s="677" t="s">
        <v>100</v>
      </c>
      <c r="BF180" s="681">
        <v>0.33</v>
      </c>
      <c r="BG180" s="647" t="s">
        <v>1397</v>
      </c>
      <c r="BH180" s="647" t="s">
        <v>1398</v>
      </c>
      <c r="BI180" s="658" t="str">
        <f t="shared" si="93"/>
        <v>BAJO</v>
      </c>
      <c r="BJ180" s="681">
        <f t="shared" si="119"/>
        <v>0.10890000000000001</v>
      </c>
      <c r="BK180" s="647" t="s">
        <v>1399</v>
      </c>
      <c r="BL180" s="682">
        <f t="shared" si="94"/>
        <v>1.089E-2</v>
      </c>
      <c r="BM180" s="682">
        <f t="shared" si="95"/>
        <v>8.3853000000000011E-2</v>
      </c>
      <c r="BN180" s="682">
        <f t="shared" si="96"/>
        <v>0.22531050021413809</v>
      </c>
      <c r="BO180" s="658"/>
      <c r="BP180" s="853">
        <f t="shared" si="122"/>
        <v>0.34</v>
      </c>
      <c r="BQ180" s="854" t="s">
        <v>105</v>
      </c>
      <c r="BR180" s="855">
        <v>1</v>
      </c>
      <c r="BS180" s="874" t="s">
        <v>1400</v>
      </c>
      <c r="BT180" s="872" t="s">
        <v>1385</v>
      </c>
      <c r="BU180" s="905" t="str">
        <f t="shared" si="120"/>
        <v>ALTO</v>
      </c>
      <c r="BV180" s="875">
        <f t="shared" si="124"/>
        <v>0.34</v>
      </c>
      <c r="BW180" s="859" t="s">
        <v>180</v>
      </c>
      <c r="BX180" s="857">
        <f t="shared" si="97"/>
        <v>3.4000000000000004</v>
      </c>
      <c r="BY180" s="857">
        <f t="shared" si="98"/>
        <v>0.44155844155844159</v>
      </c>
      <c r="BZ180" s="857">
        <f t="shared" si="99"/>
        <v>0.16433322000000003</v>
      </c>
      <c r="CA180" s="857">
        <f t="shared" si="100"/>
        <v>0.12827272727272729</v>
      </c>
      <c r="CB180" s="16">
        <f t="shared" si="101"/>
        <v>0.67</v>
      </c>
      <c r="CC180" s="16">
        <f t="shared" si="102"/>
        <v>0.33</v>
      </c>
      <c r="CD180" s="16">
        <f t="shared" si="123"/>
        <v>1</v>
      </c>
      <c r="CE180" s="16">
        <f t="shared" si="106"/>
        <v>0.77890000000000004</v>
      </c>
      <c r="CF180" s="16" t="e">
        <f>SUM(#REF!/(CC180+CB180))</f>
        <v>#REF!</v>
      </c>
      <c r="CG180" s="17"/>
      <c r="CH180" s="17"/>
      <c r="CI180" s="17"/>
      <c r="CJ180" s="17"/>
      <c r="CK180" s="3" t="s">
        <v>165</v>
      </c>
      <c r="CV180" s="346">
        <f t="shared" si="121"/>
        <v>1</v>
      </c>
    </row>
    <row r="181" spans="1:100" s="1" customFormat="1" ht="65.099999999999994" customHeight="1" x14ac:dyDescent="0.25">
      <c r="A181" s="356" t="s">
        <v>79</v>
      </c>
      <c r="B181" s="356" t="s">
        <v>80</v>
      </c>
      <c r="C181" s="356" t="s">
        <v>81</v>
      </c>
      <c r="D181" s="356" t="s">
        <v>82</v>
      </c>
      <c r="E181" s="356" t="s">
        <v>83</v>
      </c>
      <c r="F181" s="356" t="s">
        <v>84</v>
      </c>
      <c r="G181" s="356" t="s">
        <v>85</v>
      </c>
      <c r="H181" s="356" t="s">
        <v>86</v>
      </c>
      <c r="I181" s="356" t="s">
        <v>87</v>
      </c>
      <c r="J181" s="356" t="s">
        <v>88</v>
      </c>
      <c r="K181" s="357" t="s">
        <v>6</v>
      </c>
      <c r="L181" s="357" t="s">
        <v>89</v>
      </c>
      <c r="M181" s="357" t="s">
        <v>181</v>
      </c>
      <c r="N181" s="367" t="s">
        <v>91</v>
      </c>
      <c r="O181" s="367" t="s">
        <v>154</v>
      </c>
      <c r="P181" s="930">
        <v>39542136.277533107</v>
      </c>
      <c r="Q181" s="368" t="s">
        <v>94</v>
      </c>
      <c r="R181" s="357" t="s">
        <v>156</v>
      </c>
      <c r="S181" s="371">
        <v>1</v>
      </c>
      <c r="T181" s="369" t="s">
        <v>182</v>
      </c>
      <c r="U181" s="357" t="s">
        <v>183</v>
      </c>
      <c r="V181" s="357" t="s">
        <v>98</v>
      </c>
      <c r="W181" s="497" t="s">
        <v>1401</v>
      </c>
      <c r="X181" s="432">
        <v>0</v>
      </c>
      <c r="Y181" s="432">
        <v>0.5</v>
      </c>
      <c r="Z181" s="432">
        <v>0</v>
      </c>
      <c r="AA181" s="444">
        <v>0.5</v>
      </c>
      <c r="AB181" s="525">
        <v>10</v>
      </c>
      <c r="AC181" s="413">
        <v>1.2987012987012987</v>
      </c>
      <c r="AD181" s="413">
        <v>0.48333300000000001</v>
      </c>
      <c r="AE181" s="413">
        <v>0.37727272727272726</v>
      </c>
      <c r="AF181" s="692">
        <f t="shared" si="91"/>
        <v>0</v>
      </c>
      <c r="AG181" s="693" t="s">
        <v>146</v>
      </c>
      <c r="AH181" s="698">
        <v>0</v>
      </c>
      <c r="AI181" s="693"/>
      <c r="AJ181" s="693"/>
      <c r="AK181" s="693"/>
      <c r="AL181" s="692">
        <f t="shared" si="109"/>
        <v>0</v>
      </c>
      <c r="AM181" s="697" t="s">
        <v>121</v>
      </c>
      <c r="AN181" s="693">
        <f t="shared" si="110"/>
        <v>0</v>
      </c>
      <c r="AO181" s="693">
        <f t="shared" si="111"/>
        <v>0</v>
      </c>
      <c r="AP181" s="693">
        <f t="shared" si="112"/>
        <v>0</v>
      </c>
      <c r="AQ181" s="693"/>
      <c r="AR181" s="401">
        <f t="shared" si="92"/>
        <v>0.5</v>
      </c>
      <c r="AS181" s="402" t="s">
        <v>100</v>
      </c>
      <c r="AT181" s="405">
        <v>0</v>
      </c>
      <c r="AU181" s="631" t="s">
        <v>1402</v>
      </c>
      <c r="AV181" s="631" t="s">
        <v>1403</v>
      </c>
      <c r="AW181" s="729" t="str">
        <f t="shared" si="113"/>
        <v>BAJO</v>
      </c>
      <c r="AX181" s="397">
        <f t="shared" si="114"/>
        <v>0</v>
      </c>
      <c r="AY181" s="400" t="s">
        <v>1404</v>
      </c>
      <c r="AZ181" s="398">
        <f t="shared" si="115"/>
        <v>0</v>
      </c>
      <c r="BA181" s="398">
        <f t="shared" si="116"/>
        <v>0</v>
      </c>
      <c r="BB181" s="398">
        <f t="shared" si="117"/>
        <v>0</v>
      </c>
      <c r="BC181" s="15"/>
      <c r="BD181" s="14">
        <f t="shared" si="118"/>
        <v>0</v>
      </c>
      <c r="BE181" s="677" t="s">
        <v>100</v>
      </c>
      <c r="BF181" s="681">
        <v>0</v>
      </c>
      <c r="BG181" s="658" t="s">
        <v>1405</v>
      </c>
      <c r="BH181" s="658" t="s">
        <v>1405</v>
      </c>
      <c r="BI181" s="658" t="str">
        <f t="shared" si="93"/>
        <v>BAJO</v>
      </c>
      <c r="BJ181" s="681">
        <f t="shared" si="119"/>
        <v>0</v>
      </c>
      <c r="BK181" s="647" t="s">
        <v>1406</v>
      </c>
      <c r="BL181" s="682">
        <f t="shared" si="94"/>
        <v>0</v>
      </c>
      <c r="BM181" s="682">
        <f t="shared" si="95"/>
        <v>0</v>
      </c>
      <c r="BN181" s="682">
        <f t="shared" si="96"/>
        <v>0</v>
      </c>
      <c r="BO181" s="658"/>
      <c r="BP181" s="853">
        <f t="shared" si="122"/>
        <v>0.5</v>
      </c>
      <c r="BQ181" s="854" t="s">
        <v>105</v>
      </c>
      <c r="BR181" s="871">
        <v>1</v>
      </c>
      <c r="BS181" s="874" t="s">
        <v>1407</v>
      </c>
      <c r="BT181" s="872" t="s">
        <v>1408</v>
      </c>
      <c r="BU181" s="905" t="str">
        <f t="shared" si="120"/>
        <v>ALTO</v>
      </c>
      <c r="BV181" s="875">
        <f t="shared" si="124"/>
        <v>0.5</v>
      </c>
      <c r="BW181" s="859" t="s">
        <v>531</v>
      </c>
      <c r="BX181" s="857">
        <f t="shared" si="97"/>
        <v>5</v>
      </c>
      <c r="BY181" s="857">
        <f t="shared" si="98"/>
        <v>0.64935064935064934</v>
      </c>
      <c r="BZ181" s="857">
        <f t="shared" si="99"/>
        <v>0.24166650000000001</v>
      </c>
      <c r="CA181" s="857">
        <f t="shared" si="100"/>
        <v>0.18863636363636363</v>
      </c>
      <c r="CB181" s="16">
        <f t="shared" si="101"/>
        <v>0.5</v>
      </c>
      <c r="CC181" s="16">
        <f t="shared" si="102"/>
        <v>0.5</v>
      </c>
      <c r="CD181" s="16">
        <f t="shared" si="123"/>
        <v>1</v>
      </c>
      <c r="CE181" s="16">
        <f t="shared" si="106"/>
        <v>0.5</v>
      </c>
      <c r="CF181" s="16" t="e">
        <f>SUM(#REF!/(CC181+CB181))</f>
        <v>#REF!</v>
      </c>
      <c r="CG181" s="17"/>
      <c r="CH181" s="17"/>
      <c r="CI181" s="17"/>
      <c r="CJ181" s="17"/>
      <c r="CK181" s="3" t="s">
        <v>165</v>
      </c>
      <c r="CV181" s="346">
        <f t="shared" si="121"/>
        <v>1</v>
      </c>
    </row>
    <row r="182" spans="1:100" s="1" customFormat="1" ht="65.099999999999994" customHeight="1" x14ac:dyDescent="0.25">
      <c r="A182" s="356" t="s">
        <v>79</v>
      </c>
      <c r="B182" s="356" t="s">
        <v>80</v>
      </c>
      <c r="C182" s="356" t="s">
        <v>81</v>
      </c>
      <c r="D182" s="356" t="s">
        <v>82</v>
      </c>
      <c r="E182" s="356" t="s">
        <v>83</v>
      </c>
      <c r="F182" s="356" t="s">
        <v>84</v>
      </c>
      <c r="G182" s="356" t="s">
        <v>85</v>
      </c>
      <c r="H182" s="356" t="s">
        <v>86</v>
      </c>
      <c r="I182" s="356" t="s">
        <v>87</v>
      </c>
      <c r="J182" s="356" t="s">
        <v>152</v>
      </c>
      <c r="K182" s="357" t="s">
        <v>6</v>
      </c>
      <c r="L182" s="357" t="s">
        <v>89</v>
      </c>
      <c r="M182" s="382" t="s">
        <v>190</v>
      </c>
      <c r="N182" s="367" t="s">
        <v>91</v>
      </c>
      <c r="O182" s="367" t="s">
        <v>154</v>
      </c>
      <c r="P182" s="930">
        <v>39542136.277533107</v>
      </c>
      <c r="Q182" s="368" t="s">
        <v>94</v>
      </c>
      <c r="R182" s="357" t="s">
        <v>156</v>
      </c>
      <c r="S182" s="378">
        <v>1</v>
      </c>
      <c r="T182" s="369" t="s">
        <v>191</v>
      </c>
      <c r="U182" s="357" t="s">
        <v>158</v>
      </c>
      <c r="V182" s="357" t="s">
        <v>98</v>
      </c>
      <c r="W182" s="497" t="s">
        <v>192</v>
      </c>
      <c r="X182" s="432">
        <v>0</v>
      </c>
      <c r="Y182" s="432">
        <v>0</v>
      </c>
      <c r="Z182" s="432">
        <v>0.34</v>
      </c>
      <c r="AA182" s="521">
        <v>0.66</v>
      </c>
      <c r="AB182" s="525">
        <v>10</v>
      </c>
      <c r="AC182" s="413">
        <v>1.2987012987012987</v>
      </c>
      <c r="AD182" s="413">
        <v>0.48333300000000001</v>
      </c>
      <c r="AE182" s="413">
        <v>0.37727272727272726</v>
      </c>
      <c r="AF182" s="692">
        <f t="shared" si="91"/>
        <v>0</v>
      </c>
      <c r="AG182" s="693" t="s">
        <v>146</v>
      </c>
      <c r="AH182" s="698">
        <v>0</v>
      </c>
      <c r="AI182" s="693"/>
      <c r="AJ182" s="693"/>
      <c r="AK182" s="693"/>
      <c r="AL182" s="692">
        <f t="shared" si="109"/>
        <v>0</v>
      </c>
      <c r="AM182" s="697" t="s">
        <v>121</v>
      </c>
      <c r="AN182" s="693">
        <f t="shared" si="110"/>
        <v>0</v>
      </c>
      <c r="AO182" s="693">
        <f t="shared" si="111"/>
        <v>0</v>
      </c>
      <c r="AP182" s="693">
        <f t="shared" si="112"/>
        <v>0</v>
      </c>
      <c r="AQ182" s="693"/>
      <c r="AR182" s="401">
        <f t="shared" si="92"/>
        <v>0</v>
      </c>
      <c r="AS182" s="402" t="s">
        <v>146</v>
      </c>
      <c r="AT182" s="405">
        <v>0</v>
      </c>
      <c r="AU182" s="631" t="s">
        <v>1409</v>
      </c>
      <c r="AV182" s="631" t="s">
        <v>1403</v>
      </c>
      <c r="AW182" s="729" t="str">
        <f t="shared" si="113"/>
        <v>BAJO</v>
      </c>
      <c r="AX182" s="397">
        <f t="shared" si="114"/>
        <v>0</v>
      </c>
      <c r="AY182" s="400" t="s">
        <v>1410</v>
      </c>
      <c r="AZ182" s="398">
        <f t="shared" si="115"/>
        <v>0</v>
      </c>
      <c r="BA182" s="398">
        <f t="shared" si="116"/>
        <v>0</v>
      </c>
      <c r="BB182" s="398">
        <f t="shared" si="117"/>
        <v>0</v>
      </c>
      <c r="BC182" s="15"/>
      <c r="BD182" s="14">
        <f t="shared" si="118"/>
        <v>0.34</v>
      </c>
      <c r="BE182" s="677" t="s">
        <v>100</v>
      </c>
      <c r="BF182" s="681">
        <v>0.33</v>
      </c>
      <c r="BG182" s="647" t="s">
        <v>1411</v>
      </c>
      <c r="BH182" s="647" t="s">
        <v>1412</v>
      </c>
      <c r="BI182" s="658" t="str">
        <f t="shared" si="93"/>
        <v>BAJO</v>
      </c>
      <c r="BJ182" s="681">
        <f t="shared" si="119"/>
        <v>0.11220000000000001</v>
      </c>
      <c r="BK182" s="658" t="s">
        <v>1413</v>
      </c>
      <c r="BL182" s="682">
        <f t="shared" si="94"/>
        <v>1.1220000000000001E-2</v>
      </c>
      <c r="BM182" s="682">
        <f t="shared" si="95"/>
        <v>8.6394000000000012E-2</v>
      </c>
      <c r="BN182" s="682">
        <f t="shared" si="96"/>
        <v>0.23213809112971803</v>
      </c>
      <c r="BO182" s="658"/>
      <c r="BP182" s="853">
        <f t="shared" si="122"/>
        <v>0.66</v>
      </c>
      <c r="BQ182" s="854" t="s">
        <v>105</v>
      </c>
      <c r="BR182" s="871">
        <v>1</v>
      </c>
      <c r="BS182" s="874" t="s">
        <v>1414</v>
      </c>
      <c r="BT182" s="872" t="s">
        <v>1415</v>
      </c>
      <c r="BU182" s="905" t="str">
        <f t="shared" si="120"/>
        <v>ALTO</v>
      </c>
      <c r="BV182" s="875">
        <f t="shared" si="124"/>
        <v>0.66</v>
      </c>
      <c r="BW182" s="859" t="s">
        <v>1195</v>
      </c>
      <c r="BX182" s="857">
        <f t="shared" si="97"/>
        <v>6.6000000000000005</v>
      </c>
      <c r="BY182" s="857">
        <f t="shared" si="98"/>
        <v>0.85714285714285721</v>
      </c>
      <c r="BZ182" s="857">
        <f t="shared" si="99"/>
        <v>0.31899978000000001</v>
      </c>
      <c r="CA182" s="857">
        <f t="shared" si="100"/>
        <v>0.249</v>
      </c>
      <c r="CB182" s="16">
        <f t="shared" si="101"/>
        <v>1</v>
      </c>
      <c r="CC182" s="16">
        <f t="shared" si="102"/>
        <v>0</v>
      </c>
      <c r="CD182" s="16">
        <f t="shared" si="123"/>
        <v>1</v>
      </c>
      <c r="CE182" s="16">
        <f t="shared" si="106"/>
        <v>0.7722</v>
      </c>
      <c r="CF182" s="16" t="e">
        <f>SUM(#REF!/(CC182+CB182))</f>
        <v>#REF!</v>
      </c>
      <c r="CG182" s="17"/>
      <c r="CH182" s="17"/>
      <c r="CI182" s="17"/>
      <c r="CJ182" s="17"/>
      <c r="CK182" s="3" t="s">
        <v>165</v>
      </c>
      <c r="CV182" s="346">
        <f t="shared" si="121"/>
        <v>1</v>
      </c>
    </row>
    <row r="183" spans="1:100" s="1" customFormat="1" ht="65.099999999999994" customHeight="1" x14ac:dyDescent="0.25">
      <c r="A183" s="356" t="s">
        <v>79</v>
      </c>
      <c r="B183" s="356" t="s">
        <v>80</v>
      </c>
      <c r="C183" s="356" t="s">
        <v>81</v>
      </c>
      <c r="D183" s="356" t="s">
        <v>82</v>
      </c>
      <c r="E183" s="356" t="s">
        <v>83</v>
      </c>
      <c r="F183" s="356" t="s">
        <v>84</v>
      </c>
      <c r="G183" s="356" t="s">
        <v>85</v>
      </c>
      <c r="H183" s="356" t="s">
        <v>86</v>
      </c>
      <c r="I183" s="356" t="s">
        <v>87</v>
      </c>
      <c r="J183" s="356" t="s">
        <v>152</v>
      </c>
      <c r="K183" s="357" t="s">
        <v>6</v>
      </c>
      <c r="L183" s="357" t="s">
        <v>89</v>
      </c>
      <c r="M183" s="357" t="s">
        <v>195</v>
      </c>
      <c r="N183" s="367" t="s">
        <v>91</v>
      </c>
      <c r="O183" s="367" t="s">
        <v>154</v>
      </c>
      <c r="P183" s="930">
        <v>39542136.277533107</v>
      </c>
      <c r="Q183" s="368" t="s">
        <v>94</v>
      </c>
      <c r="R183" s="357" t="s">
        <v>156</v>
      </c>
      <c r="S183" s="357">
        <v>7</v>
      </c>
      <c r="T183" s="369" t="s">
        <v>196</v>
      </c>
      <c r="U183" s="357" t="s">
        <v>158</v>
      </c>
      <c r="V183" s="370" t="s">
        <v>98</v>
      </c>
      <c r="W183" s="497" t="s">
        <v>197</v>
      </c>
      <c r="X183" s="432">
        <v>0</v>
      </c>
      <c r="Y183" s="432">
        <f>1/7</f>
        <v>0.14285714285714285</v>
      </c>
      <c r="Z183" s="432">
        <f>3/7</f>
        <v>0.42857142857142855</v>
      </c>
      <c r="AA183" s="444">
        <f>3/7</f>
        <v>0.42857142857142855</v>
      </c>
      <c r="AB183" s="525">
        <v>10</v>
      </c>
      <c r="AC183" s="413">
        <v>1.2987012987012987</v>
      </c>
      <c r="AD183" s="413">
        <v>0.48333300000000001</v>
      </c>
      <c r="AE183" s="413">
        <v>0.37727272727272726</v>
      </c>
      <c r="AF183" s="692">
        <f t="shared" si="91"/>
        <v>0</v>
      </c>
      <c r="AG183" s="693" t="s">
        <v>146</v>
      </c>
      <c r="AH183" s="698">
        <v>0</v>
      </c>
      <c r="AI183" s="693"/>
      <c r="AJ183" s="693"/>
      <c r="AK183" s="693"/>
      <c r="AL183" s="692">
        <f t="shared" si="109"/>
        <v>0</v>
      </c>
      <c r="AM183" s="697" t="s">
        <v>121</v>
      </c>
      <c r="AN183" s="693">
        <f t="shared" si="110"/>
        <v>0</v>
      </c>
      <c r="AO183" s="693">
        <f t="shared" si="111"/>
        <v>0</v>
      </c>
      <c r="AP183" s="693">
        <f t="shared" si="112"/>
        <v>0</v>
      </c>
      <c r="AQ183" s="693"/>
      <c r="AR183" s="401">
        <f t="shared" si="92"/>
        <v>0.14285714285714285</v>
      </c>
      <c r="AS183" s="402" t="s">
        <v>100</v>
      </c>
      <c r="AT183" s="405">
        <f>1/1</f>
        <v>1</v>
      </c>
      <c r="AU183" s="631" t="s">
        <v>1416</v>
      </c>
      <c r="AV183" s="743" t="s">
        <v>1417</v>
      </c>
      <c r="AW183" s="729" t="str">
        <f t="shared" si="113"/>
        <v>ALTO</v>
      </c>
      <c r="AX183" s="397">
        <f t="shared" si="114"/>
        <v>0.14285714285714285</v>
      </c>
      <c r="AY183" s="400" t="s">
        <v>714</v>
      </c>
      <c r="AZ183" s="398">
        <f t="shared" si="115"/>
        <v>1.4285714285714284</v>
      </c>
      <c r="BA183" s="398">
        <f t="shared" si="116"/>
        <v>0.18552875695732837</v>
      </c>
      <c r="BB183" s="398">
        <f t="shared" si="117"/>
        <v>6.904757142857143E-2</v>
      </c>
      <c r="BC183" s="15"/>
      <c r="BD183" s="14">
        <f t="shared" si="118"/>
        <v>0.42857142857142855</v>
      </c>
      <c r="BE183" s="677" t="s">
        <v>100</v>
      </c>
      <c r="BF183" s="681">
        <v>0.34</v>
      </c>
      <c r="BG183" s="647" t="s">
        <v>1418</v>
      </c>
      <c r="BH183" s="647" t="s">
        <v>1419</v>
      </c>
      <c r="BI183" s="658" t="str">
        <f t="shared" si="93"/>
        <v>BAJO</v>
      </c>
      <c r="BJ183" s="681">
        <f t="shared" si="119"/>
        <v>0.14571428571428571</v>
      </c>
      <c r="BK183" s="658" t="s">
        <v>149</v>
      </c>
      <c r="BL183" s="682">
        <f t="shared" si="94"/>
        <v>1.4571428571428572E-2</v>
      </c>
      <c r="BM183" s="682">
        <f t="shared" si="95"/>
        <v>0.11219999999999999</v>
      </c>
      <c r="BN183" s="682">
        <f t="shared" si="96"/>
        <v>0.3014780404282052</v>
      </c>
      <c r="BO183" s="658"/>
      <c r="BP183" s="853">
        <f t="shared" si="122"/>
        <v>0.42857142857142855</v>
      </c>
      <c r="BQ183" s="854" t="s">
        <v>105</v>
      </c>
      <c r="BR183" s="871">
        <v>1</v>
      </c>
      <c r="BS183" s="874" t="s">
        <v>1418</v>
      </c>
      <c r="BT183" s="872" t="s">
        <v>1420</v>
      </c>
      <c r="BU183" s="905" t="str">
        <f t="shared" si="120"/>
        <v>ALTO</v>
      </c>
      <c r="BV183" s="875">
        <f t="shared" si="124"/>
        <v>0.42857142857142855</v>
      </c>
      <c r="BW183" s="859" t="s">
        <v>1421</v>
      </c>
      <c r="BX183" s="857">
        <f t="shared" si="97"/>
        <v>4.2857142857142856</v>
      </c>
      <c r="BY183" s="857">
        <f t="shared" si="98"/>
        <v>0.55658627087198509</v>
      </c>
      <c r="BZ183" s="857">
        <f t="shared" si="99"/>
        <v>0.20714271428571429</v>
      </c>
      <c r="CA183" s="857">
        <f t="shared" si="100"/>
        <v>0.16168831168831169</v>
      </c>
      <c r="CB183" s="16">
        <f t="shared" si="101"/>
        <v>0.8571428571428571</v>
      </c>
      <c r="CC183" s="16">
        <f t="shared" si="102"/>
        <v>0.14285714285714285</v>
      </c>
      <c r="CD183" s="16">
        <f t="shared" si="123"/>
        <v>1</v>
      </c>
      <c r="CE183" s="16">
        <f t="shared" si="106"/>
        <v>0.71714285714285708</v>
      </c>
      <c r="CF183" s="16" t="e">
        <f>SUM(#REF!/(CC183+CB183))</f>
        <v>#REF!</v>
      </c>
      <c r="CG183" s="17"/>
      <c r="CH183" s="17"/>
      <c r="CI183" s="17"/>
      <c r="CJ183" s="17"/>
      <c r="CK183" s="3" t="s">
        <v>165</v>
      </c>
      <c r="CV183" s="346">
        <f t="shared" si="121"/>
        <v>1</v>
      </c>
    </row>
    <row r="184" spans="1:100" s="1" customFormat="1" ht="65.099999999999994" customHeight="1" x14ac:dyDescent="0.25">
      <c r="A184" s="356" t="s">
        <v>79</v>
      </c>
      <c r="B184" s="356" t="s">
        <v>80</v>
      </c>
      <c r="C184" s="356" t="s">
        <v>81</v>
      </c>
      <c r="D184" s="356" t="s">
        <v>82</v>
      </c>
      <c r="E184" s="356" t="s">
        <v>83</v>
      </c>
      <c r="F184" s="356" t="s">
        <v>84</v>
      </c>
      <c r="G184" s="356" t="s">
        <v>85</v>
      </c>
      <c r="H184" s="356" t="s">
        <v>86</v>
      </c>
      <c r="I184" s="356" t="s">
        <v>87</v>
      </c>
      <c r="J184" s="356" t="s">
        <v>152</v>
      </c>
      <c r="K184" s="357" t="s">
        <v>6</v>
      </c>
      <c r="L184" s="357" t="s">
        <v>89</v>
      </c>
      <c r="M184" s="357" t="s">
        <v>201</v>
      </c>
      <c r="N184" s="367" t="s">
        <v>91</v>
      </c>
      <c r="O184" s="367" t="s">
        <v>202</v>
      </c>
      <c r="P184" s="930">
        <v>39542136.277533107</v>
      </c>
      <c r="Q184" s="368" t="s">
        <v>94</v>
      </c>
      <c r="R184" s="357" t="s">
        <v>156</v>
      </c>
      <c r="S184" s="378">
        <v>1</v>
      </c>
      <c r="T184" s="369" t="s">
        <v>201</v>
      </c>
      <c r="U184" s="357" t="s">
        <v>204</v>
      </c>
      <c r="V184" s="357" t="s">
        <v>98</v>
      </c>
      <c r="W184" s="497" t="s">
        <v>205</v>
      </c>
      <c r="X184" s="432">
        <v>0</v>
      </c>
      <c r="Y184" s="432">
        <v>0</v>
      </c>
      <c r="Z184" s="432">
        <v>0</v>
      </c>
      <c r="AA184" s="444">
        <v>1</v>
      </c>
      <c r="AB184" s="525">
        <v>10</v>
      </c>
      <c r="AC184" s="413">
        <v>1.2987012987012987</v>
      </c>
      <c r="AD184" s="413">
        <v>0.48333300000000001</v>
      </c>
      <c r="AE184" s="413">
        <v>0.37727272727272726</v>
      </c>
      <c r="AF184" s="692">
        <f t="shared" si="91"/>
        <v>0</v>
      </c>
      <c r="AG184" s="693" t="s">
        <v>146</v>
      </c>
      <c r="AH184" s="698">
        <v>0</v>
      </c>
      <c r="AI184" s="693"/>
      <c r="AJ184" s="693"/>
      <c r="AK184" s="693"/>
      <c r="AL184" s="692">
        <f t="shared" si="109"/>
        <v>0</v>
      </c>
      <c r="AM184" s="697" t="s">
        <v>121</v>
      </c>
      <c r="AN184" s="693">
        <f t="shared" si="110"/>
        <v>0</v>
      </c>
      <c r="AO184" s="693">
        <f t="shared" si="111"/>
        <v>0</v>
      </c>
      <c r="AP184" s="693">
        <f t="shared" si="112"/>
        <v>0</v>
      </c>
      <c r="AQ184" s="693"/>
      <c r="AR184" s="401">
        <f t="shared" si="92"/>
        <v>0</v>
      </c>
      <c r="AS184" s="402" t="s">
        <v>146</v>
      </c>
      <c r="AT184" s="405">
        <v>0</v>
      </c>
      <c r="AU184" s="744"/>
      <c r="AV184" s="745"/>
      <c r="AW184" s="729"/>
      <c r="AX184" s="397">
        <f t="shared" si="114"/>
        <v>0</v>
      </c>
      <c r="AY184" s="399" t="s">
        <v>121</v>
      </c>
      <c r="AZ184" s="398">
        <f t="shared" si="115"/>
        <v>0</v>
      </c>
      <c r="BA184" s="398">
        <f t="shared" si="116"/>
        <v>0</v>
      </c>
      <c r="BB184" s="398">
        <f t="shared" si="117"/>
        <v>0</v>
      </c>
      <c r="BC184" s="15"/>
      <c r="BD184" s="14">
        <f t="shared" si="118"/>
        <v>0</v>
      </c>
      <c r="BE184" s="677" t="s">
        <v>146</v>
      </c>
      <c r="BF184" s="681"/>
      <c r="BG184" s="658" t="s">
        <v>1422</v>
      </c>
      <c r="BH184" s="658" t="s">
        <v>1405</v>
      </c>
      <c r="BI184" s="658" t="str">
        <f t="shared" si="93"/>
        <v>BAJO</v>
      </c>
      <c r="BJ184" s="681">
        <f t="shared" si="119"/>
        <v>0</v>
      </c>
      <c r="BK184" s="658"/>
      <c r="BL184" s="682">
        <f t="shared" si="94"/>
        <v>0</v>
      </c>
      <c r="BM184" s="682">
        <f t="shared" si="95"/>
        <v>0</v>
      </c>
      <c r="BN184" s="682">
        <f t="shared" si="96"/>
        <v>0</v>
      </c>
      <c r="BO184" s="658"/>
      <c r="BP184" s="853">
        <f t="shared" si="122"/>
        <v>1</v>
      </c>
      <c r="BQ184" s="854" t="s">
        <v>105</v>
      </c>
      <c r="BR184" s="871">
        <v>0</v>
      </c>
      <c r="BS184" s="874" t="s">
        <v>1423</v>
      </c>
      <c r="BT184" s="872" t="s">
        <v>1393</v>
      </c>
      <c r="BU184" s="907" t="str">
        <f t="shared" si="120"/>
        <v>BAJO</v>
      </c>
      <c r="BV184" s="875">
        <f t="shared" si="124"/>
        <v>0</v>
      </c>
      <c r="BW184" s="859" t="s">
        <v>993</v>
      </c>
      <c r="BX184" s="857">
        <f t="shared" si="97"/>
        <v>0</v>
      </c>
      <c r="BY184" s="857">
        <f t="shared" si="98"/>
        <v>0</v>
      </c>
      <c r="BZ184" s="857">
        <f t="shared" si="99"/>
        <v>0</v>
      </c>
      <c r="CA184" s="857">
        <f t="shared" si="100"/>
        <v>0</v>
      </c>
      <c r="CB184" s="16">
        <f t="shared" si="101"/>
        <v>1</v>
      </c>
      <c r="CC184" s="16">
        <f t="shared" si="102"/>
        <v>0</v>
      </c>
      <c r="CD184" s="16">
        <f t="shared" si="123"/>
        <v>1</v>
      </c>
      <c r="CE184" s="16">
        <f t="shared" si="106"/>
        <v>0</v>
      </c>
      <c r="CF184" s="16" t="e">
        <f>SUM(#REF!/(CC184+CB184))</f>
        <v>#REF!</v>
      </c>
      <c r="CG184" s="17"/>
      <c r="CH184" s="17"/>
      <c r="CI184" s="17"/>
      <c r="CJ184" s="17"/>
      <c r="CK184" s="3" t="s">
        <v>165</v>
      </c>
      <c r="CV184" s="346">
        <f t="shared" si="121"/>
        <v>1</v>
      </c>
    </row>
    <row r="185" spans="1:100" s="1" customFormat="1" ht="153.75" customHeight="1" x14ac:dyDescent="0.25">
      <c r="A185" s="354" t="s">
        <v>79</v>
      </c>
      <c r="B185" s="354" t="s">
        <v>80</v>
      </c>
      <c r="C185" s="354" t="s">
        <v>81</v>
      </c>
      <c r="D185" s="354" t="s">
        <v>82</v>
      </c>
      <c r="E185" s="354" t="s">
        <v>83</v>
      </c>
      <c r="F185" s="354" t="s">
        <v>84</v>
      </c>
      <c r="G185" s="354" t="s">
        <v>85</v>
      </c>
      <c r="H185" s="354" t="s">
        <v>86</v>
      </c>
      <c r="I185" s="354" t="s">
        <v>87</v>
      </c>
      <c r="J185" s="354" t="s">
        <v>152</v>
      </c>
      <c r="K185" s="348" t="s">
        <v>7</v>
      </c>
      <c r="L185" s="348" t="s">
        <v>539</v>
      </c>
      <c r="M185" s="686" t="s">
        <v>1424</v>
      </c>
      <c r="N185" s="361" t="s">
        <v>541</v>
      </c>
      <c r="O185" s="361" t="s">
        <v>126</v>
      </c>
      <c r="P185" s="922">
        <v>39542136.277533107</v>
      </c>
      <c r="Q185" s="393" t="s">
        <v>543</v>
      </c>
      <c r="R185" s="348" t="s">
        <v>213</v>
      </c>
      <c r="S185" s="384">
        <v>1</v>
      </c>
      <c r="T185" s="355" t="s">
        <v>1425</v>
      </c>
      <c r="U185" s="355" t="s">
        <v>1426</v>
      </c>
      <c r="V185" s="348" t="s">
        <v>119</v>
      </c>
      <c r="W185" s="355" t="s">
        <v>1427</v>
      </c>
      <c r="X185" s="430">
        <v>1</v>
      </c>
      <c r="Y185" s="430">
        <v>0</v>
      </c>
      <c r="Z185" s="430">
        <v>0</v>
      </c>
      <c r="AA185" s="431">
        <v>0</v>
      </c>
      <c r="AB185" s="525">
        <v>7.7</v>
      </c>
      <c r="AC185" s="413">
        <v>0.99009900990099009</v>
      </c>
      <c r="AD185" s="413">
        <v>0.41709399999999996</v>
      </c>
      <c r="AE185" s="413">
        <v>0.37727272727272726</v>
      </c>
      <c r="AF185" s="692">
        <f t="shared" si="91"/>
        <v>1</v>
      </c>
      <c r="AG185" s="693" t="s">
        <v>105</v>
      </c>
      <c r="AH185" s="714">
        <f>3/3</f>
        <v>1</v>
      </c>
      <c r="AI185" s="715" t="s">
        <v>1428</v>
      </c>
      <c r="AJ185" s="716"/>
      <c r="AK185" s="693" t="str">
        <f>+IF(AND(AH185&gt;=0%,AH185&lt;=60%),"BAJO",IF(AND(AH185&gt;=61%,AH185&lt;=80%),"MEDIO","ALTO"))</f>
        <v>ALTO</v>
      </c>
      <c r="AL185" s="692">
        <f t="shared" si="109"/>
        <v>1</v>
      </c>
      <c r="AM185" s="697" t="s">
        <v>102</v>
      </c>
      <c r="AN185" s="693">
        <f t="shared" si="110"/>
        <v>7.7</v>
      </c>
      <c r="AO185" s="693">
        <f t="shared" si="111"/>
        <v>0.99009900990099009</v>
      </c>
      <c r="AP185" s="693">
        <f t="shared" si="112"/>
        <v>0.41709399999999996</v>
      </c>
      <c r="AQ185" s="693"/>
      <c r="AR185" s="401">
        <f t="shared" si="92"/>
        <v>0</v>
      </c>
      <c r="AS185" s="402" t="s">
        <v>105</v>
      </c>
      <c r="AT185" s="405"/>
      <c r="AU185" s="630"/>
      <c r="AV185" s="402"/>
      <c r="AW185" s="729"/>
      <c r="AX185" s="397">
        <f t="shared" si="114"/>
        <v>0</v>
      </c>
      <c r="AY185" s="399" t="s">
        <v>121</v>
      </c>
      <c r="AZ185" s="398">
        <f t="shared" si="115"/>
        <v>0</v>
      </c>
      <c r="BA185" s="398">
        <f t="shared" si="116"/>
        <v>0</v>
      </c>
      <c r="BB185" s="398">
        <f t="shared" si="117"/>
        <v>0</v>
      </c>
      <c r="BC185" s="15"/>
      <c r="BD185" s="14">
        <f t="shared" si="118"/>
        <v>0</v>
      </c>
      <c r="BE185" s="645" t="s">
        <v>105</v>
      </c>
      <c r="BF185" s="646"/>
      <c r="BG185" s="658"/>
      <c r="BH185" s="658"/>
      <c r="BI185" s="658" t="str">
        <f t="shared" si="93"/>
        <v>BAJO</v>
      </c>
      <c r="BJ185" s="681">
        <f t="shared" si="119"/>
        <v>0</v>
      </c>
      <c r="BK185" s="658"/>
      <c r="BL185" s="682">
        <f t="shared" si="94"/>
        <v>0</v>
      </c>
      <c r="BM185" s="682">
        <f t="shared" si="95"/>
        <v>0</v>
      </c>
      <c r="BN185" s="682">
        <f t="shared" si="96"/>
        <v>0</v>
      </c>
      <c r="BO185" s="658"/>
      <c r="BP185" s="885">
        <f t="shared" si="122"/>
        <v>0</v>
      </c>
      <c r="BQ185" s="854" t="s">
        <v>105</v>
      </c>
      <c r="BR185" s="871">
        <f>100/100</f>
        <v>1</v>
      </c>
      <c r="BS185" s="874" t="s">
        <v>1429</v>
      </c>
      <c r="BT185" s="872" t="s">
        <v>1430</v>
      </c>
      <c r="BU185" s="905" t="str">
        <f t="shared" si="120"/>
        <v>ALTO</v>
      </c>
      <c r="BV185" s="875">
        <f t="shared" si="124"/>
        <v>0</v>
      </c>
      <c r="BW185" s="859"/>
      <c r="BX185" s="857">
        <f t="shared" si="97"/>
        <v>0</v>
      </c>
      <c r="BY185" s="857">
        <f t="shared" si="98"/>
        <v>0</v>
      </c>
      <c r="BZ185" s="857">
        <f t="shared" si="99"/>
        <v>0</v>
      </c>
      <c r="CA185" s="857">
        <f t="shared" si="100"/>
        <v>0</v>
      </c>
      <c r="CB185" s="16">
        <f t="shared" si="101"/>
        <v>0</v>
      </c>
      <c r="CC185" s="16">
        <f t="shared" si="102"/>
        <v>1</v>
      </c>
      <c r="CD185" s="16">
        <f t="shared" si="123"/>
        <v>1</v>
      </c>
      <c r="CE185" s="16">
        <f t="shared" si="106"/>
        <v>1</v>
      </c>
      <c r="CF185" s="16" t="e">
        <f>SUM(#REF!/(CC185+CB185))</f>
        <v>#REF!</v>
      </c>
      <c r="CG185" s="17"/>
      <c r="CH185" s="17"/>
      <c r="CI185" s="17"/>
      <c r="CJ185" s="17"/>
      <c r="CV185" s="346">
        <f t="shared" si="121"/>
        <v>1</v>
      </c>
    </row>
    <row r="186" spans="1:100" s="1" customFormat="1" ht="65.099999999999994" customHeight="1" x14ac:dyDescent="0.25">
      <c r="A186" s="354" t="s">
        <v>79</v>
      </c>
      <c r="B186" s="354" t="s">
        <v>80</v>
      </c>
      <c r="C186" s="354" t="s">
        <v>81</v>
      </c>
      <c r="D186" s="354" t="s">
        <v>82</v>
      </c>
      <c r="E186" s="354" t="s">
        <v>83</v>
      </c>
      <c r="F186" s="354" t="s">
        <v>84</v>
      </c>
      <c r="G186" s="354" t="s">
        <v>85</v>
      </c>
      <c r="H186" s="354" t="s">
        <v>86</v>
      </c>
      <c r="I186" s="354" t="s">
        <v>87</v>
      </c>
      <c r="J186" s="354" t="s">
        <v>152</v>
      </c>
      <c r="K186" s="348" t="s">
        <v>7</v>
      </c>
      <c r="L186" s="348" t="s">
        <v>539</v>
      </c>
      <c r="M186" s="686" t="s">
        <v>1431</v>
      </c>
      <c r="N186" s="361" t="s">
        <v>541</v>
      </c>
      <c r="O186" s="361" t="s">
        <v>126</v>
      </c>
      <c r="P186" s="922">
        <v>39542136.277533107</v>
      </c>
      <c r="Q186" s="393" t="s">
        <v>543</v>
      </c>
      <c r="R186" s="348" t="s">
        <v>213</v>
      </c>
      <c r="S186" s="384">
        <v>9</v>
      </c>
      <c r="T186" s="355" t="s">
        <v>1432</v>
      </c>
      <c r="U186" s="348" t="s">
        <v>1433</v>
      </c>
      <c r="V186" s="348" t="s">
        <v>119</v>
      </c>
      <c r="W186" s="355" t="s">
        <v>1434</v>
      </c>
      <c r="X186" s="430">
        <v>0</v>
      </c>
      <c r="Y186" s="430">
        <v>0.4</v>
      </c>
      <c r="Z186" s="430">
        <v>0.3</v>
      </c>
      <c r="AA186" s="431">
        <v>0.3</v>
      </c>
      <c r="AB186" s="525">
        <v>7.7</v>
      </c>
      <c r="AC186" s="413">
        <v>0.99009900990099009</v>
      </c>
      <c r="AD186" s="413">
        <v>0.41709399999999996</v>
      </c>
      <c r="AE186" s="413">
        <v>0.37727272727272726</v>
      </c>
      <c r="AF186" s="692">
        <f t="shared" ref="AF186:AF249" si="125">X186</f>
        <v>0</v>
      </c>
      <c r="AG186" s="693" t="s">
        <v>146</v>
      </c>
      <c r="AH186" s="698">
        <v>0</v>
      </c>
      <c r="AI186" s="715"/>
      <c r="AJ186" s="716"/>
      <c r="AK186" s="693"/>
      <c r="AL186" s="692">
        <f t="shared" si="109"/>
        <v>0</v>
      </c>
      <c r="AM186" s="697" t="s">
        <v>121</v>
      </c>
      <c r="AN186" s="693">
        <f t="shared" si="110"/>
        <v>0</v>
      </c>
      <c r="AO186" s="693">
        <f t="shared" si="111"/>
        <v>0</v>
      </c>
      <c r="AP186" s="693">
        <f t="shared" si="112"/>
        <v>0</v>
      </c>
      <c r="AQ186" s="693"/>
      <c r="AR186" s="401">
        <f t="shared" ref="AR186:AR249" si="126">Y186</f>
        <v>0.4</v>
      </c>
      <c r="AS186" s="402" t="s">
        <v>100</v>
      </c>
      <c r="AT186" s="643">
        <f>5/5</f>
        <v>1</v>
      </c>
      <c r="AU186" s="630" t="s">
        <v>1435</v>
      </c>
      <c r="AV186" s="402"/>
      <c r="AW186" s="729" t="str">
        <f t="shared" si="113"/>
        <v>ALTO</v>
      </c>
      <c r="AX186" s="397">
        <f t="shared" si="114"/>
        <v>0.4</v>
      </c>
      <c r="AY186" s="399" t="s">
        <v>102</v>
      </c>
      <c r="AZ186" s="398">
        <f t="shared" si="115"/>
        <v>3.08</v>
      </c>
      <c r="BA186" s="398">
        <f t="shared" si="116"/>
        <v>0.39603960396039606</v>
      </c>
      <c r="BB186" s="398">
        <f t="shared" si="117"/>
        <v>0.1668376</v>
      </c>
      <c r="BC186" s="15"/>
      <c r="BD186" s="14">
        <f t="shared" si="118"/>
        <v>0.3</v>
      </c>
      <c r="BE186" s="645" t="s">
        <v>100</v>
      </c>
      <c r="BF186" s="675">
        <f>3/3</f>
        <v>1</v>
      </c>
      <c r="BG186" s="676" t="s">
        <v>1436</v>
      </c>
      <c r="BH186" s="676"/>
      <c r="BI186" s="658" t="str">
        <f t="shared" si="93"/>
        <v>ALTO</v>
      </c>
      <c r="BJ186" s="681">
        <f t="shared" si="119"/>
        <v>0.3</v>
      </c>
      <c r="BK186" s="647" t="s">
        <v>1437</v>
      </c>
      <c r="BL186" s="682">
        <f t="shared" si="94"/>
        <v>3.896103896103896E-2</v>
      </c>
      <c r="BM186" s="682">
        <f t="shared" si="95"/>
        <v>0.30299999999999999</v>
      </c>
      <c r="BN186" s="682">
        <f t="shared" si="96"/>
        <v>0.71926232455993133</v>
      </c>
      <c r="BO186" s="658"/>
      <c r="BP186" s="885">
        <f t="shared" si="122"/>
        <v>0.3</v>
      </c>
      <c r="BQ186" s="854" t="s">
        <v>105</v>
      </c>
      <c r="BR186" s="871">
        <f>100/100</f>
        <v>1</v>
      </c>
      <c r="BS186" s="874" t="s">
        <v>1438</v>
      </c>
      <c r="BT186" s="872" t="s">
        <v>1439</v>
      </c>
      <c r="BU186" s="905" t="str">
        <f t="shared" si="120"/>
        <v>ALTO</v>
      </c>
      <c r="BV186" s="875">
        <f t="shared" si="124"/>
        <v>0.3</v>
      </c>
      <c r="BW186" s="859" t="s">
        <v>1440</v>
      </c>
      <c r="BX186" s="857">
        <f t="shared" si="97"/>
        <v>2.31</v>
      </c>
      <c r="BY186" s="857">
        <f t="shared" si="98"/>
        <v>0.29702970297029702</v>
      </c>
      <c r="BZ186" s="857">
        <f t="shared" si="99"/>
        <v>0.12512819999999999</v>
      </c>
      <c r="CA186" s="857">
        <f t="shared" si="100"/>
        <v>0.11318181818181818</v>
      </c>
      <c r="CB186" s="16">
        <f t="shared" si="101"/>
        <v>0.6</v>
      </c>
      <c r="CC186" s="16">
        <f t="shared" si="102"/>
        <v>0.4</v>
      </c>
      <c r="CD186" s="16">
        <f t="shared" si="123"/>
        <v>1</v>
      </c>
      <c r="CE186" s="16">
        <f t="shared" si="106"/>
        <v>1</v>
      </c>
      <c r="CF186" s="16" t="e">
        <f>SUM(#REF!/(CC186+CB186))</f>
        <v>#REF!</v>
      </c>
      <c r="CG186" s="17"/>
      <c r="CH186" s="17"/>
      <c r="CI186" s="17"/>
      <c r="CJ186" s="17"/>
      <c r="CV186" s="346">
        <f t="shared" si="121"/>
        <v>1</v>
      </c>
    </row>
    <row r="187" spans="1:100" s="1" customFormat="1" ht="65.099999999999994" customHeight="1" x14ac:dyDescent="0.25">
      <c r="A187" s="354" t="s">
        <v>79</v>
      </c>
      <c r="B187" s="354" t="s">
        <v>80</v>
      </c>
      <c r="C187" s="354" t="s">
        <v>81</v>
      </c>
      <c r="D187" s="354" t="s">
        <v>82</v>
      </c>
      <c r="E187" s="354" t="s">
        <v>83</v>
      </c>
      <c r="F187" s="354" t="s">
        <v>84</v>
      </c>
      <c r="G187" s="354" t="s">
        <v>85</v>
      </c>
      <c r="H187" s="354" t="s">
        <v>86</v>
      </c>
      <c r="I187" s="354" t="s">
        <v>87</v>
      </c>
      <c r="J187" s="354" t="s">
        <v>152</v>
      </c>
      <c r="K187" s="348" t="s">
        <v>7</v>
      </c>
      <c r="L187" s="348" t="s">
        <v>539</v>
      </c>
      <c r="M187" s="686" t="s">
        <v>1441</v>
      </c>
      <c r="N187" s="361" t="s">
        <v>541</v>
      </c>
      <c r="O187" s="361" t="s">
        <v>126</v>
      </c>
      <c r="P187" s="922">
        <v>39542136.277533107</v>
      </c>
      <c r="Q187" s="393" t="s">
        <v>543</v>
      </c>
      <c r="R187" s="348" t="s">
        <v>213</v>
      </c>
      <c r="S187" s="384">
        <v>12</v>
      </c>
      <c r="T187" s="355" t="s">
        <v>1442</v>
      </c>
      <c r="U187" s="348" t="s">
        <v>1443</v>
      </c>
      <c r="V187" s="348" t="s">
        <v>119</v>
      </c>
      <c r="W187" s="355" t="s">
        <v>1444</v>
      </c>
      <c r="X187" s="430">
        <v>0.25</v>
      </c>
      <c r="Y187" s="430">
        <v>0.25</v>
      </c>
      <c r="Z187" s="430">
        <v>0.25</v>
      </c>
      <c r="AA187" s="431">
        <v>0.25</v>
      </c>
      <c r="AB187" s="525">
        <v>7.7</v>
      </c>
      <c r="AC187" s="413">
        <v>0.99009900990099009</v>
      </c>
      <c r="AD187" s="413">
        <v>0.41709399999999996</v>
      </c>
      <c r="AE187" s="413">
        <v>0.37727272727272726</v>
      </c>
      <c r="AF187" s="692">
        <f t="shared" si="125"/>
        <v>0.25</v>
      </c>
      <c r="AG187" s="693" t="s">
        <v>100</v>
      </c>
      <c r="AH187" s="714">
        <f>1/1</f>
        <v>1</v>
      </c>
      <c r="AI187" s="715" t="s">
        <v>1445</v>
      </c>
      <c r="AJ187" s="716"/>
      <c r="AK187" s="693" t="str">
        <f>+IF(AND(AH187&gt;=0%,AH187&lt;=60%),"BAJO",IF(AND(AH187&gt;=61%,AH187&lt;=80%),"MEDIO","ALTO"))</f>
        <v>ALTO</v>
      </c>
      <c r="AL187" s="692">
        <f t="shared" si="109"/>
        <v>0.25</v>
      </c>
      <c r="AM187" s="697" t="s">
        <v>102</v>
      </c>
      <c r="AN187" s="693">
        <f t="shared" si="110"/>
        <v>1.925</v>
      </c>
      <c r="AO187" s="693">
        <f t="shared" si="111"/>
        <v>0.24752475247524752</v>
      </c>
      <c r="AP187" s="693">
        <f t="shared" si="112"/>
        <v>0.10427349999999999</v>
      </c>
      <c r="AQ187" s="693"/>
      <c r="AR187" s="401">
        <f t="shared" si="126"/>
        <v>0.25</v>
      </c>
      <c r="AS187" s="402" t="s">
        <v>100</v>
      </c>
      <c r="AT187" s="641">
        <f>3/3</f>
        <v>1</v>
      </c>
      <c r="AU187" s="630" t="s">
        <v>1446</v>
      </c>
      <c r="AV187" s="402"/>
      <c r="AW187" s="729" t="str">
        <f t="shared" si="113"/>
        <v>ALTO</v>
      </c>
      <c r="AX187" s="397">
        <f t="shared" si="114"/>
        <v>0.25</v>
      </c>
      <c r="AY187" s="399" t="s">
        <v>102</v>
      </c>
      <c r="AZ187" s="398">
        <f t="shared" si="115"/>
        <v>1.925</v>
      </c>
      <c r="BA187" s="398">
        <f t="shared" si="116"/>
        <v>0.24752475247524752</v>
      </c>
      <c r="BB187" s="398">
        <f t="shared" si="117"/>
        <v>0.10427349999999999</v>
      </c>
      <c r="BC187" s="15"/>
      <c r="BD187" s="14">
        <f t="shared" si="118"/>
        <v>0.25</v>
      </c>
      <c r="BE187" s="645" t="s">
        <v>100</v>
      </c>
      <c r="BF187" s="778">
        <f>3/3</f>
        <v>1</v>
      </c>
      <c r="BG187" s="676" t="s">
        <v>1447</v>
      </c>
      <c r="BH187" s="676"/>
      <c r="BI187" s="658" t="str">
        <f t="shared" si="93"/>
        <v>ALTO</v>
      </c>
      <c r="BJ187" s="681">
        <f t="shared" si="119"/>
        <v>0.25</v>
      </c>
      <c r="BK187" s="647" t="s">
        <v>1448</v>
      </c>
      <c r="BL187" s="682">
        <f t="shared" si="94"/>
        <v>3.2467532467532464E-2</v>
      </c>
      <c r="BM187" s="682">
        <f t="shared" si="95"/>
        <v>0.2525</v>
      </c>
      <c r="BN187" s="682">
        <f t="shared" si="96"/>
        <v>0.5993852704666095</v>
      </c>
      <c r="BO187" s="658"/>
      <c r="BP187" s="885">
        <f t="shared" si="122"/>
        <v>0.25</v>
      </c>
      <c r="BQ187" s="854" t="s">
        <v>105</v>
      </c>
      <c r="BR187" s="871">
        <f>100/100</f>
        <v>1</v>
      </c>
      <c r="BS187" s="874" t="s">
        <v>1449</v>
      </c>
      <c r="BT187" s="872" t="s">
        <v>1450</v>
      </c>
      <c r="BU187" s="905" t="str">
        <f t="shared" si="120"/>
        <v>ALTO</v>
      </c>
      <c r="BV187" s="875">
        <f t="shared" si="124"/>
        <v>0.25</v>
      </c>
      <c r="BW187" s="859" t="s">
        <v>1440</v>
      </c>
      <c r="BX187" s="857">
        <f t="shared" si="97"/>
        <v>1.925</v>
      </c>
      <c r="BY187" s="857">
        <f t="shared" si="98"/>
        <v>0.24752475247524752</v>
      </c>
      <c r="BZ187" s="857">
        <f t="shared" si="99"/>
        <v>0.10427349999999999</v>
      </c>
      <c r="CA187" s="857">
        <f t="shared" si="100"/>
        <v>9.4318181818181815E-2</v>
      </c>
      <c r="CB187" s="16">
        <f t="shared" si="101"/>
        <v>0.5</v>
      </c>
      <c r="CC187" s="16">
        <f t="shared" si="102"/>
        <v>0.5</v>
      </c>
      <c r="CD187" s="16">
        <f t="shared" si="123"/>
        <v>1</v>
      </c>
      <c r="CE187" s="16">
        <f t="shared" si="106"/>
        <v>1</v>
      </c>
      <c r="CF187" s="16" t="e">
        <f>SUM(#REF!/(CC187+CB187))</f>
        <v>#REF!</v>
      </c>
      <c r="CG187" s="17"/>
      <c r="CH187" s="17"/>
      <c r="CI187" s="17"/>
      <c r="CJ187" s="17"/>
      <c r="CV187" s="346">
        <f t="shared" si="121"/>
        <v>1</v>
      </c>
    </row>
    <row r="188" spans="1:100" s="3" customFormat="1" ht="65.099999999999994" customHeight="1" x14ac:dyDescent="0.25">
      <c r="A188" s="354" t="s">
        <v>79</v>
      </c>
      <c r="B188" s="354" t="s">
        <v>80</v>
      </c>
      <c r="C188" s="354" t="s">
        <v>81</v>
      </c>
      <c r="D188" s="354" t="s">
        <v>82</v>
      </c>
      <c r="E188" s="354" t="s">
        <v>83</v>
      </c>
      <c r="F188" s="354" t="s">
        <v>84</v>
      </c>
      <c r="G188" s="354" t="s">
        <v>85</v>
      </c>
      <c r="H188" s="354" t="s">
        <v>86</v>
      </c>
      <c r="I188" s="354" t="s">
        <v>87</v>
      </c>
      <c r="J188" s="354" t="s">
        <v>152</v>
      </c>
      <c r="K188" s="348" t="s">
        <v>7</v>
      </c>
      <c r="L188" s="348" t="s">
        <v>539</v>
      </c>
      <c r="M188" s="686" t="s">
        <v>1451</v>
      </c>
      <c r="N188" s="361" t="s">
        <v>541</v>
      </c>
      <c r="O188" s="361" t="s">
        <v>126</v>
      </c>
      <c r="P188" s="922">
        <v>39542136.277533107</v>
      </c>
      <c r="Q188" s="393" t="s">
        <v>543</v>
      </c>
      <c r="R188" s="348" t="s">
        <v>213</v>
      </c>
      <c r="S188" s="384">
        <v>4</v>
      </c>
      <c r="T188" s="355" t="s">
        <v>1452</v>
      </c>
      <c r="U188" s="348" t="s">
        <v>1453</v>
      </c>
      <c r="V188" s="348" t="s">
        <v>119</v>
      </c>
      <c r="W188" s="355" t="s">
        <v>1454</v>
      </c>
      <c r="X188" s="430">
        <v>0.25</v>
      </c>
      <c r="Y188" s="430">
        <v>0.25</v>
      </c>
      <c r="Z188" s="430">
        <v>0.25</v>
      </c>
      <c r="AA188" s="431">
        <v>0.25</v>
      </c>
      <c r="AB188" s="525">
        <v>7.69</v>
      </c>
      <c r="AC188" s="413">
        <v>0.99009900990099009</v>
      </c>
      <c r="AD188" s="413">
        <v>0.41709399999999996</v>
      </c>
      <c r="AE188" s="413">
        <v>0.37727272727272726</v>
      </c>
      <c r="AF188" s="692">
        <f t="shared" si="125"/>
        <v>0.25</v>
      </c>
      <c r="AG188" s="693" t="s">
        <v>100</v>
      </c>
      <c r="AH188" s="714">
        <f>1/1</f>
        <v>1</v>
      </c>
      <c r="AI188" s="715" t="s">
        <v>1455</v>
      </c>
      <c r="AJ188" s="717"/>
      <c r="AK188" s="693" t="str">
        <f>+IF(AND(AH188&gt;=0%,AH188&lt;=60%),"BAJO",IF(AND(AH188&gt;=61%,AH188&lt;=80%),"MEDIO","ALTO"))</f>
        <v>ALTO</v>
      </c>
      <c r="AL188" s="692">
        <f t="shared" si="109"/>
        <v>0.25</v>
      </c>
      <c r="AM188" s="697" t="s">
        <v>102</v>
      </c>
      <c r="AN188" s="693">
        <f t="shared" si="110"/>
        <v>1.9225000000000001</v>
      </c>
      <c r="AO188" s="693">
        <f t="shared" si="111"/>
        <v>0.24752475247524752</v>
      </c>
      <c r="AP188" s="693">
        <f t="shared" si="112"/>
        <v>0.10427349999999999</v>
      </c>
      <c r="AQ188" s="696"/>
      <c r="AR188" s="401">
        <f t="shared" si="126"/>
        <v>0.25</v>
      </c>
      <c r="AS188" s="402" t="s">
        <v>100</v>
      </c>
      <c r="AT188" s="641">
        <f>1/1</f>
        <v>1</v>
      </c>
      <c r="AU188" s="630" t="s">
        <v>1456</v>
      </c>
      <c r="AV188" s="402"/>
      <c r="AW188" s="729" t="str">
        <f t="shared" si="113"/>
        <v>ALTO</v>
      </c>
      <c r="AX188" s="397">
        <f t="shared" si="114"/>
        <v>0.25</v>
      </c>
      <c r="AY188" s="399" t="s">
        <v>1457</v>
      </c>
      <c r="AZ188" s="398">
        <f t="shared" si="115"/>
        <v>1.9225000000000001</v>
      </c>
      <c r="BA188" s="398">
        <f t="shared" si="116"/>
        <v>0.24752475247524752</v>
      </c>
      <c r="BB188" s="398">
        <f t="shared" si="117"/>
        <v>0.10427349999999999</v>
      </c>
      <c r="BC188" s="18"/>
      <c r="BD188" s="14">
        <f t="shared" si="118"/>
        <v>0.25</v>
      </c>
      <c r="BE188" s="645" t="s">
        <v>100</v>
      </c>
      <c r="BF188" s="778">
        <f>1/1</f>
        <v>1</v>
      </c>
      <c r="BG188" s="676" t="s">
        <v>1458</v>
      </c>
      <c r="BH188" s="676"/>
      <c r="BI188" s="658" t="str">
        <f t="shared" si="93"/>
        <v>ALTO</v>
      </c>
      <c r="BJ188" s="681">
        <f t="shared" si="119"/>
        <v>0.25</v>
      </c>
      <c r="BK188" s="680" t="s">
        <v>1459</v>
      </c>
      <c r="BL188" s="682">
        <f t="shared" si="94"/>
        <v>3.2509752925877759E-2</v>
      </c>
      <c r="BM188" s="682">
        <f t="shared" si="95"/>
        <v>0.2525</v>
      </c>
      <c r="BN188" s="682">
        <f t="shared" si="96"/>
        <v>0.5993852704666095</v>
      </c>
      <c r="BO188" s="754"/>
      <c r="BP188" s="885">
        <f t="shared" si="122"/>
        <v>0.25</v>
      </c>
      <c r="BQ188" s="854" t="s">
        <v>105</v>
      </c>
      <c r="BR188" s="871">
        <v>1</v>
      </c>
      <c r="BS188" s="859" t="s">
        <v>1460</v>
      </c>
      <c r="BT188" s="872" t="s">
        <v>1461</v>
      </c>
      <c r="BU188" s="905" t="str">
        <f t="shared" si="120"/>
        <v>ALTO</v>
      </c>
      <c r="BV188" s="875">
        <f t="shared" si="124"/>
        <v>0.25</v>
      </c>
      <c r="BW188" s="859" t="s">
        <v>1462</v>
      </c>
      <c r="BX188" s="857">
        <f t="shared" si="97"/>
        <v>1.9225000000000001</v>
      </c>
      <c r="BY188" s="857">
        <f t="shared" si="98"/>
        <v>0.24752475247524752</v>
      </c>
      <c r="BZ188" s="857">
        <f t="shared" si="99"/>
        <v>0.10427349999999999</v>
      </c>
      <c r="CA188" s="857">
        <f t="shared" si="100"/>
        <v>9.4318181818181815E-2</v>
      </c>
      <c r="CB188" s="16">
        <f t="shared" si="101"/>
        <v>0.5</v>
      </c>
      <c r="CC188" s="16">
        <f t="shared" si="102"/>
        <v>0.5</v>
      </c>
      <c r="CD188" s="16">
        <f t="shared" si="123"/>
        <v>1</v>
      </c>
      <c r="CE188" s="16">
        <f t="shared" si="106"/>
        <v>1</v>
      </c>
      <c r="CF188" s="16" t="e">
        <f>SUM(#REF!/(CC188+CB188))</f>
        <v>#REF!</v>
      </c>
      <c r="CG188" s="19"/>
      <c r="CH188" s="19"/>
      <c r="CI188" s="19"/>
      <c r="CJ188" s="19"/>
      <c r="CV188" s="346">
        <f t="shared" si="121"/>
        <v>1</v>
      </c>
    </row>
    <row r="189" spans="1:100" s="1" customFormat="1" ht="112.5" customHeight="1" x14ac:dyDescent="0.25">
      <c r="A189" s="354" t="s">
        <v>79</v>
      </c>
      <c r="B189" s="354" t="s">
        <v>80</v>
      </c>
      <c r="C189" s="354" t="s">
        <v>81</v>
      </c>
      <c r="D189" s="354" t="s">
        <v>82</v>
      </c>
      <c r="E189" s="354" t="s">
        <v>83</v>
      </c>
      <c r="F189" s="354" t="s">
        <v>84</v>
      </c>
      <c r="G189" s="358" t="s">
        <v>85</v>
      </c>
      <c r="H189" s="358" t="s">
        <v>86</v>
      </c>
      <c r="I189" s="358" t="s">
        <v>87</v>
      </c>
      <c r="J189" s="358" t="s">
        <v>88</v>
      </c>
      <c r="K189" s="348" t="s">
        <v>7</v>
      </c>
      <c r="L189" s="348" t="s">
        <v>539</v>
      </c>
      <c r="M189" s="686" t="s">
        <v>1463</v>
      </c>
      <c r="N189" s="361" t="s">
        <v>541</v>
      </c>
      <c r="O189" s="361" t="s">
        <v>126</v>
      </c>
      <c r="P189" s="922">
        <v>39542136.277533107</v>
      </c>
      <c r="Q189" s="393" t="s">
        <v>543</v>
      </c>
      <c r="R189" s="348" t="s">
        <v>213</v>
      </c>
      <c r="S189" s="384">
        <v>12</v>
      </c>
      <c r="T189" s="355" t="s">
        <v>1464</v>
      </c>
      <c r="U189" s="355" t="s">
        <v>1465</v>
      </c>
      <c r="V189" s="348" t="s">
        <v>119</v>
      </c>
      <c r="W189" s="355" t="s">
        <v>1466</v>
      </c>
      <c r="X189" s="430">
        <v>0.25</v>
      </c>
      <c r="Y189" s="430">
        <v>0.25</v>
      </c>
      <c r="Z189" s="430">
        <v>0.25</v>
      </c>
      <c r="AA189" s="431">
        <v>0.25</v>
      </c>
      <c r="AB189" s="525">
        <v>7.69</v>
      </c>
      <c r="AC189" s="413">
        <v>0.99009900990099009</v>
      </c>
      <c r="AD189" s="413">
        <v>0.41709399999999996</v>
      </c>
      <c r="AE189" s="413">
        <v>0.37727272727272726</v>
      </c>
      <c r="AF189" s="692">
        <f t="shared" si="125"/>
        <v>0.25</v>
      </c>
      <c r="AG189" s="693" t="s">
        <v>100</v>
      </c>
      <c r="AH189" s="714">
        <f>3/3</f>
        <v>1</v>
      </c>
      <c r="AI189" s="715" t="s">
        <v>1467</v>
      </c>
      <c r="AJ189" s="716"/>
      <c r="AK189" s="693" t="str">
        <f>+IF(AND(AH189&gt;=0%,AH189&lt;=60%),"BAJO",IF(AND(AH189&gt;=61%,AH189&lt;=80%),"MEDIO","ALTO"))</f>
        <v>ALTO</v>
      </c>
      <c r="AL189" s="692">
        <f t="shared" si="109"/>
        <v>0.25</v>
      </c>
      <c r="AM189" s="697" t="s">
        <v>1468</v>
      </c>
      <c r="AN189" s="693">
        <f t="shared" si="110"/>
        <v>1.9225000000000001</v>
      </c>
      <c r="AO189" s="693">
        <f t="shared" si="111"/>
        <v>0.24752475247524752</v>
      </c>
      <c r="AP189" s="693">
        <f t="shared" si="112"/>
        <v>0.10427349999999999</v>
      </c>
      <c r="AQ189" s="693"/>
      <c r="AR189" s="401">
        <f t="shared" si="126"/>
        <v>0.25</v>
      </c>
      <c r="AS189" s="402" t="s">
        <v>100</v>
      </c>
      <c r="AT189" s="641">
        <f>3/3</f>
        <v>1</v>
      </c>
      <c r="AU189" s="630" t="s">
        <v>1469</v>
      </c>
      <c r="AV189" s="402"/>
      <c r="AW189" s="729" t="str">
        <f t="shared" si="113"/>
        <v>ALTO</v>
      </c>
      <c r="AX189" s="397">
        <f t="shared" si="114"/>
        <v>0.25</v>
      </c>
      <c r="AY189" s="399" t="s">
        <v>102</v>
      </c>
      <c r="AZ189" s="398">
        <f t="shared" si="115"/>
        <v>1.9225000000000001</v>
      </c>
      <c r="BA189" s="398">
        <f t="shared" si="116"/>
        <v>0.24752475247524752</v>
      </c>
      <c r="BB189" s="398">
        <f t="shared" si="117"/>
        <v>0.10427349999999999</v>
      </c>
      <c r="BC189" s="15"/>
      <c r="BD189" s="14">
        <f t="shared" si="118"/>
        <v>0.25</v>
      </c>
      <c r="BE189" s="645" t="s">
        <v>100</v>
      </c>
      <c r="BF189" s="778">
        <f>3/3</f>
        <v>1</v>
      </c>
      <c r="BG189" s="676" t="s">
        <v>1470</v>
      </c>
      <c r="BH189" s="676"/>
      <c r="BI189" s="658" t="str">
        <f t="shared" si="93"/>
        <v>ALTO</v>
      </c>
      <c r="BJ189" s="681">
        <f t="shared" si="119"/>
        <v>0.25</v>
      </c>
      <c r="BK189" s="647" t="s">
        <v>1471</v>
      </c>
      <c r="BL189" s="682">
        <f t="shared" si="94"/>
        <v>3.2509752925877759E-2</v>
      </c>
      <c r="BM189" s="682">
        <f t="shared" si="95"/>
        <v>0.2525</v>
      </c>
      <c r="BN189" s="682">
        <f t="shared" si="96"/>
        <v>0.5993852704666095</v>
      </c>
      <c r="BO189" s="658"/>
      <c r="BP189" s="885">
        <f t="shared" si="122"/>
        <v>0.25</v>
      </c>
      <c r="BQ189" s="854" t="s">
        <v>105</v>
      </c>
      <c r="BR189" s="871">
        <f>30/100</f>
        <v>0.3</v>
      </c>
      <c r="BS189" s="874" t="s">
        <v>1472</v>
      </c>
      <c r="BT189" s="872" t="s">
        <v>1473</v>
      </c>
      <c r="BU189" s="907" t="str">
        <f t="shared" si="120"/>
        <v>BAJO</v>
      </c>
      <c r="BV189" s="875">
        <f t="shared" si="124"/>
        <v>7.4999999999999997E-2</v>
      </c>
      <c r="BW189" s="859" t="s">
        <v>1474</v>
      </c>
      <c r="BX189" s="857">
        <f t="shared" si="97"/>
        <v>0.57674999999999998</v>
      </c>
      <c r="BY189" s="857">
        <f t="shared" si="98"/>
        <v>7.4257425742574254E-2</v>
      </c>
      <c r="BZ189" s="857">
        <f t="shared" si="99"/>
        <v>3.1282049999999999E-2</v>
      </c>
      <c r="CA189" s="857">
        <f t="shared" si="100"/>
        <v>2.8295454545454544E-2</v>
      </c>
      <c r="CB189" s="16">
        <f t="shared" si="101"/>
        <v>0.5</v>
      </c>
      <c r="CC189" s="16">
        <f t="shared" si="102"/>
        <v>0.5</v>
      </c>
      <c r="CD189" s="16">
        <f t="shared" si="123"/>
        <v>1</v>
      </c>
      <c r="CE189" s="16">
        <f t="shared" si="106"/>
        <v>0.82499999999999996</v>
      </c>
      <c r="CF189" s="16" t="e">
        <f>SUM(#REF!/(CC189+CB189))</f>
        <v>#REF!</v>
      </c>
      <c r="CG189" s="17"/>
      <c r="CH189" s="17"/>
      <c r="CI189" s="17"/>
      <c r="CJ189" s="17"/>
      <c r="CV189" s="346">
        <f t="shared" si="121"/>
        <v>1</v>
      </c>
    </row>
    <row r="190" spans="1:100" s="1" customFormat="1" ht="65.099999999999994" customHeight="1" x14ac:dyDescent="0.25">
      <c r="A190" s="354" t="s">
        <v>79</v>
      </c>
      <c r="B190" s="354" t="s">
        <v>80</v>
      </c>
      <c r="C190" s="354" t="s">
        <v>81</v>
      </c>
      <c r="D190" s="354" t="s">
        <v>82</v>
      </c>
      <c r="E190" s="354" t="s">
        <v>83</v>
      </c>
      <c r="F190" s="354" t="s">
        <v>84</v>
      </c>
      <c r="G190" s="358" t="s">
        <v>85</v>
      </c>
      <c r="H190" s="358" t="s">
        <v>86</v>
      </c>
      <c r="I190" s="358" t="s">
        <v>87</v>
      </c>
      <c r="J190" s="358" t="s">
        <v>88</v>
      </c>
      <c r="K190" s="348" t="s">
        <v>7</v>
      </c>
      <c r="L190" s="348" t="s">
        <v>539</v>
      </c>
      <c r="M190" s="686" t="s">
        <v>1475</v>
      </c>
      <c r="N190" s="361" t="s">
        <v>541</v>
      </c>
      <c r="O190" s="361" t="s">
        <v>126</v>
      </c>
      <c r="P190" s="922">
        <v>39542136.277533107</v>
      </c>
      <c r="Q190" s="393" t="s">
        <v>543</v>
      </c>
      <c r="R190" s="348" t="s">
        <v>213</v>
      </c>
      <c r="S190" s="384">
        <v>12</v>
      </c>
      <c r="T190" s="355" t="s">
        <v>1476</v>
      </c>
      <c r="U190" s="355" t="s">
        <v>1477</v>
      </c>
      <c r="V190" s="348" t="s">
        <v>119</v>
      </c>
      <c r="W190" s="355" t="s">
        <v>1478</v>
      </c>
      <c r="X190" s="430">
        <v>0.25</v>
      </c>
      <c r="Y190" s="430">
        <v>0.25</v>
      </c>
      <c r="Z190" s="430">
        <v>0.25</v>
      </c>
      <c r="AA190" s="431">
        <v>0.25</v>
      </c>
      <c r="AB190" s="525">
        <v>7.69</v>
      </c>
      <c r="AC190" s="413">
        <v>0.99009900990099009</v>
      </c>
      <c r="AD190" s="413">
        <v>0.41709399999999996</v>
      </c>
      <c r="AE190" s="413">
        <v>0.37727272727272726</v>
      </c>
      <c r="AF190" s="692">
        <f t="shared" si="125"/>
        <v>0.25</v>
      </c>
      <c r="AG190" s="693" t="s">
        <v>100</v>
      </c>
      <c r="AH190" s="714">
        <f>3/3</f>
        <v>1</v>
      </c>
      <c r="AI190" s="715" t="s">
        <v>1479</v>
      </c>
      <c r="AJ190" s="716"/>
      <c r="AK190" s="693" t="str">
        <f>+IF(AND(AH190&gt;=0%,AH190&lt;=60%),"BAJO",IF(AND(AH190&gt;=61%,AH190&lt;=80%),"MEDIO","ALTO"))</f>
        <v>ALTO</v>
      </c>
      <c r="AL190" s="692">
        <f t="shared" si="109"/>
        <v>0.25</v>
      </c>
      <c r="AM190" s="697" t="s">
        <v>1468</v>
      </c>
      <c r="AN190" s="693">
        <f t="shared" si="110"/>
        <v>1.9225000000000001</v>
      </c>
      <c r="AO190" s="693">
        <f t="shared" si="111"/>
        <v>0.24752475247524752</v>
      </c>
      <c r="AP190" s="693">
        <f t="shared" si="112"/>
        <v>0.10427349999999999</v>
      </c>
      <c r="AQ190" s="693"/>
      <c r="AR190" s="401">
        <f t="shared" si="126"/>
        <v>0.25</v>
      </c>
      <c r="AS190" s="402" t="s">
        <v>100</v>
      </c>
      <c r="AT190" s="641">
        <f>3/3</f>
        <v>1</v>
      </c>
      <c r="AU190" s="630" t="s">
        <v>1480</v>
      </c>
      <c r="AV190" s="402"/>
      <c r="AW190" s="729" t="str">
        <f t="shared" si="113"/>
        <v>ALTO</v>
      </c>
      <c r="AX190" s="397">
        <f t="shared" si="114"/>
        <v>0.25</v>
      </c>
      <c r="AY190" s="399" t="s">
        <v>102</v>
      </c>
      <c r="AZ190" s="398">
        <f t="shared" si="115"/>
        <v>1.9225000000000001</v>
      </c>
      <c r="BA190" s="398">
        <f t="shared" si="116"/>
        <v>0.24752475247524752</v>
      </c>
      <c r="BB190" s="398">
        <f t="shared" si="117"/>
        <v>0.10427349999999999</v>
      </c>
      <c r="BC190" s="15"/>
      <c r="BD190" s="14">
        <f t="shared" si="118"/>
        <v>0.25</v>
      </c>
      <c r="BE190" s="645" t="s">
        <v>100</v>
      </c>
      <c r="BF190" s="778">
        <f>3/3</f>
        <v>1</v>
      </c>
      <c r="BG190" s="676" t="s">
        <v>1481</v>
      </c>
      <c r="BH190" s="676"/>
      <c r="BI190" s="658" t="str">
        <f t="shared" si="93"/>
        <v>ALTO</v>
      </c>
      <c r="BJ190" s="681">
        <f t="shared" si="119"/>
        <v>0.25</v>
      </c>
      <c r="BK190" s="647" t="s">
        <v>1482</v>
      </c>
      <c r="BL190" s="682">
        <f t="shared" si="94"/>
        <v>3.2509752925877759E-2</v>
      </c>
      <c r="BM190" s="682">
        <f t="shared" si="95"/>
        <v>0.2525</v>
      </c>
      <c r="BN190" s="682">
        <f t="shared" si="96"/>
        <v>0.5993852704666095</v>
      </c>
      <c r="BO190" s="658"/>
      <c r="BP190" s="885">
        <f t="shared" si="122"/>
        <v>0.25</v>
      </c>
      <c r="BQ190" s="854" t="s">
        <v>105</v>
      </c>
      <c r="BR190" s="871">
        <v>1</v>
      </c>
      <c r="BS190" s="874" t="s">
        <v>1483</v>
      </c>
      <c r="BT190" s="872" t="s">
        <v>1484</v>
      </c>
      <c r="BU190" s="905" t="str">
        <f t="shared" si="120"/>
        <v>ALTO</v>
      </c>
      <c r="BV190" s="875">
        <f t="shared" si="124"/>
        <v>0.25</v>
      </c>
      <c r="BW190" s="859" t="s">
        <v>1462</v>
      </c>
      <c r="BX190" s="857">
        <f t="shared" si="97"/>
        <v>1.9225000000000001</v>
      </c>
      <c r="BY190" s="857">
        <f t="shared" si="98"/>
        <v>0.24752475247524752</v>
      </c>
      <c r="BZ190" s="857">
        <f t="shared" si="99"/>
        <v>0.10427349999999999</v>
      </c>
      <c r="CA190" s="857">
        <f t="shared" si="100"/>
        <v>9.4318181818181815E-2</v>
      </c>
      <c r="CB190" s="16">
        <f t="shared" si="101"/>
        <v>0.5</v>
      </c>
      <c r="CC190" s="16">
        <f t="shared" si="102"/>
        <v>0.5</v>
      </c>
      <c r="CD190" s="16">
        <f t="shared" si="123"/>
        <v>1</v>
      </c>
      <c r="CE190" s="16">
        <f t="shared" si="106"/>
        <v>1</v>
      </c>
      <c r="CF190" s="16" t="e">
        <f>SUM(#REF!/(CC190+CB190))</f>
        <v>#REF!</v>
      </c>
      <c r="CG190" s="17"/>
      <c r="CH190" s="17"/>
      <c r="CI190" s="17"/>
      <c r="CJ190" s="17"/>
      <c r="CV190" s="346">
        <f t="shared" si="121"/>
        <v>1</v>
      </c>
    </row>
    <row r="191" spans="1:100" s="1" customFormat="1" ht="65.099999999999994" customHeight="1" x14ac:dyDescent="0.25">
      <c r="A191" s="356" t="s">
        <v>79</v>
      </c>
      <c r="B191" s="356" t="s">
        <v>80</v>
      </c>
      <c r="C191" s="356" t="s">
        <v>81</v>
      </c>
      <c r="D191" s="356" t="s">
        <v>82</v>
      </c>
      <c r="E191" s="356" t="s">
        <v>83</v>
      </c>
      <c r="F191" s="356" t="s">
        <v>84</v>
      </c>
      <c r="G191" s="356" t="s">
        <v>85</v>
      </c>
      <c r="H191" s="356" t="s">
        <v>86</v>
      </c>
      <c r="I191" s="356" t="s">
        <v>87</v>
      </c>
      <c r="J191" s="356" t="s">
        <v>88</v>
      </c>
      <c r="K191" s="357" t="s">
        <v>7</v>
      </c>
      <c r="L191" s="357" t="s">
        <v>1307</v>
      </c>
      <c r="M191" s="357" t="s">
        <v>153</v>
      </c>
      <c r="N191" s="367" t="s">
        <v>91</v>
      </c>
      <c r="O191" s="367" t="s">
        <v>154</v>
      </c>
      <c r="P191" s="930">
        <v>39542136.277533107</v>
      </c>
      <c r="Q191" s="357" t="s">
        <v>543</v>
      </c>
      <c r="R191" s="357" t="s">
        <v>156</v>
      </c>
      <c r="S191" s="357">
        <v>3</v>
      </c>
      <c r="T191" s="369" t="s">
        <v>157</v>
      </c>
      <c r="U191" s="357" t="s">
        <v>158</v>
      </c>
      <c r="V191" s="370" t="s">
        <v>98</v>
      </c>
      <c r="W191" s="497" t="s">
        <v>159</v>
      </c>
      <c r="X191" s="432">
        <v>0</v>
      </c>
      <c r="Y191" s="432">
        <v>0.34</v>
      </c>
      <c r="Z191" s="432">
        <v>0.33</v>
      </c>
      <c r="AA191" s="444">
        <v>0.33</v>
      </c>
      <c r="AB191" s="525">
        <v>7.69</v>
      </c>
      <c r="AC191" s="413">
        <v>0.99009900990099009</v>
      </c>
      <c r="AD191" s="413">
        <v>0.41709399999999996</v>
      </c>
      <c r="AE191" s="413">
        <v>0.37727272727272726</v>
      </c>
      <c r="AF191" s="692">
        <f t="shared" si="125"/>
        <v>0</v>
      </c>
      <c r="AG191" s="693" t="s">
        <v>146</v>
      </c>
      <c r="AH191" s="718">
        <v>0</v>
      </c>
      <c r="AI191" s="713"/>
      <c r="AJ191" s="716"/>
      <c r="AK191" s="693"/>
      <c r="AL191" s="692">
        <f t="shared" si="109"/>
        <v>0</v>
      </c>
      <c r="AM191" s="697" t="s">
        <v>121</v>
      </c>
      <c r="AN191" s="693">
        <f t="shared" si="110"/>
        <v>0</v>
      </c>
      <c r="AO191" s="693">
        <f t="shared" si="111"/>
        <v>0</v>
      </c>
      <c r="AP191" s="693">
        <f t="shared" si="112"/>
        <v>0</v>
      </c>
      <c r="AQ191" s="693"/>
      <c r="AR191" s="401">
        <f t="shared" si="126"/>
        <v>0.34</v>
      </c>
      <c r="AS191" s="402" t="s">
        <v>100</v>
      </c>
      <c r="AT191" s="641">
        <f>1/1</f>
        <v>1</v>
      </c>
      <c r="AU191" s="631" t="s">
        <v>1485</v>
      </c>
      <c r="AV191" s="402"/>
      <c r="AW191" s="729" t="str">
        <f t="shared" si="113"/>
        <v>ALTO</v>
      </c>
      <c r="AX191" s="397">
        <f t="shared" si="114"/>
        <v>0.34</v>
      </c>
      <c r="AY191" s="399" t="s">
        <v>1486</v>
      </c>
      <c r="AZ191" s="398">
        <f t="shared" si="115"/>
        <v>2.6146000000000003</v>
      </c>
      <c r="BA191" s="398">
        <f t="shared" si="116"/>
        <v>0.33663366336633666</v>
      </c>
      <c r="BB191" s="398">
        <f t="shared" si="117"/>
        <v>0.14181195999999999</v>
      </c>
      <c r="BC191" s="15"/>
      <c r="BD191" s="14">
        <f t="shared" si="118"/>
        <v>0.33</v>
      </c>
      <c r="BE191" s="645" t="s">
        <v>100</v>
      </c>
      <c r="BF191" s="778">
        <f>1/1</f>
        <v>1</v>
      </c>
      <c r="BG191" s="674" t="s">
        <v>1487</v>
      </c>
      <c r="BH191" s="674"/>
      <c r="BI191" s="658" t="str">
        <f t="shared" si="93"/>
        <v>ALTO</v>
      </c>
      <c r="BJ191" s="681">
        <f t="shared" si="119"/>
        <v>0.33</v>
      </c>
      <c r="BK191" s="647" t="s">
        <v>1488</v>
      </c>
      <c r="BL191" s="682">
        <f t="shared" si="94"/>
        <v>4.2912873862158647E-2</v>
      </c>
      <c r="BM191" s="682">
        <f t="shared" si="95"/>
        <v>0.33330000000000004</v>
      </c>
      <c r="BN191" s="682">
        <f t="shared" si="96"/>
        <v>0.79118855701592461</v>
      </c>
      <c r="BO191" s="658"/>
      <c r="BP191" s="885">
        <f t="shared" si="122"/>
        <v>0.33</v>
      </c>
      <c r="BQ191" s="854" t="s">
        <v>105</v>
      </c>
      <c r="BR191" s="871">
        <v>1</v>
      </c>
      <c r="BS191" s="874" t="s">
        <v>1489</v>
      </c>
      <c r="BT191" s="872" t="s">
        <v>1490</v>
      </c>
      <c r="BU191" s="905" t="str">
        <f t="shared" si="120"/>
        <v>ALTO</v>
      </c>
      <c r="BV191" s="875">
        <f t="shared" si="124"/>
        <v>0.33</v>
      </c>
      <c r="BW191" s="859" t="s">
        <v>336</v>
      </c>
      <c r="BX191" s="857">
        <f t="shared" si="97"/>
        <v>2.5377000000000001</v>
      </c>
      <c r="BY191" s="857">
        <f t="shared" si="98"/>
        <v>0.32673267326732675</v>
      </c>
      <c r="BZ191" s="857">
        <f t="shared" si="99"/>
        <v>0.13764102</v>
      </c>
      <c r="CA191" s="857">
        <f t="shared" si="100"/>
        <v>0.1245</v>
      </c>
      <c r="CB191" s="16">
        <f t="shared" si="101"/>
        <v>0.66</v>
      </c>
      <c r="CC191" s="16">
        <f t="shared" si="102"/>
        <v>0.34</v>
      </c>
      <c r="CD191" s="16">
        <f t="shared" si="123"/>
        <v>1</v>
      </c>
      <c r="CE191" s="16">
        <f t="shared" si="106"/>
        <v>1</v>
      </c>
      <c r="CF191" s="16" t="e">
        <f>SUM(#REF!/(CC191+CB191))</f>
        <v>#REF!</v>
      </c>
      <c r="CG191" s="17"/>
      <c r="CH191" s="17"/>
      <c r="CI191" s="17"/>
      <c r="CJ191" s="17"/>
      <c r="CK191" s="3" t="s">
        <v>165</v>
      </c>
      <c r="CV191" s="346">
        <f t="shared" si="121"/>
        <v>1</v>
      </c>
    </row>
    <row r="192" spans="1:100" s="1" customFormat="1" ht="65.099999999999994" customHeight="1" x14ac:dyDescent="0.25">
      <c r="A192" s="356" t="s">
        <v>79</v>
      </c>
      <c r="B192" s="356" t="s">
        <v>80</v>
      </c>
      <c r="C192" s="356" t="s">
        <v>81</v>
      </c>
      <c r="D192" s="356" t="s">
        <v>82</v>
      </c>
      <c r="E192" s="356" t="s">
        <v>83</v>
      </c>
      <c r="F192" s="356" t="s">
        <v>84</v>
      </c>
      <c r="G192" s="356" t="s">
        <v>85</v>
      </c>
      <c r="H192" s="356" t="s">
        <v>86</v>
      </c>
      <c r="I192" s="356" t="s">
        <v>87</v>
      </c>
      <c r="J192" s="356" t="s">
        <v>88</v>
      </c>
      <c r="K192" s="357" t="s">
        <v>7</v>
      </c>
      <c r="L192" s="357" t="s">
        <v>1307</v>
      </c>
      <c r="M192" s="357" t="s">
        <v>166</v>
      </c>
      <c r="N192" s="367" t="s">
        <v>91</v>
      </c>
      <c r="O192" s="367" t="s">
        <v>154</v>
      </c>
      <c r="P192" s="930">
        <v>39542136.277533107</v>
      </c>
      <c r="Q192" s="357" t="s">
        <v>543</v>
      </c>
      <c r="R192" s="357" t="s">
        <v>156</v>
      </c>
      <c r="S192" s="357">
        <v>3</v>
      </c>
      <c r="T192" s="377" t="s">
        <v>167</v>
      </c>
      <c r="U192" s="357" t="s">
        <v>168</v>
      </c>
      <c r="V192" s="357" t="s">
        <v>98</v>
      </c>
      <c r="W192" s="497" t="s">
        <v>616</v>
      </c>
      <c r="X192" s="432">
        <v>0</v>
      </c>
      <c r="Y192" s="432">
        <v>0.34</v>
      </c>
      <c r="Z192" s="432">
        <v>0.33</v>
      </c>
      <c r="AA192" s="444">
        <v>0.33</v>
      </c>
      <c r="AB192" s="525">
        <v>7.69</v>
      </c>
      <c r="AC192" s="413">
        <v>0.99009900990099009</v>
      </c>
      <c r="AD192" s="413">
        <v>0.41709399999999996</v>
      </c>
      <c r="AE192" s="413">
        <v>0.37727272727272726</v>
      </c>
      <c r="AF192" s="692">
        <f t="shared" si="125"/>
        <v>0</v>
      </c>
      <c r="AG192" s="693" t="s">
        <v>146</v>
      </c>
      <c r="AH192" s="718">
        <v>0</v>
      </c>
      <c r="AI192" s="713"/>
      <c r="AJ192" s="716"/>
      <c r="AK192" s="693"/>
      <c r="AL192" s="692">
        <f t="shared" si="109"/>
        <v>0</v>
      </c>
      <c r="AM192" s="697" t="s">
        <v>121</v>
      </c>
      <c r="AN192" s="693">
        <f t="shared" si="110"/>
        <v>0</v>
      </c>
      <c r="AO192" s="693">
        <f t="shared" si="111"/>
        <v>0</v>
      </c>
      <c r="AP192" s="693">
        <f t="shared" si="112"/>
        <v>0</v>
      </c>
      <c r="AQ192" s="693"/>
      <c r="AR192" s="401">
        <f t="shared" si="126"/>
        <v>0.34</v>
      </c>
      <c r="AS192" s="402" t="s">
        <v>100</v>
      </c>
      <c r="AT192" s="641">
        <f>1/1</f>
        <v>1</v>
      </c>
      <c r="AU192" s="631" t="s">
        <v>1491</v>
      </c>
      <c r="AV192" s="402"/>
      <c r="AW192" s="729" t="str">
        <f t="shared" si="113"/>
        <v>ALTO</v>
      </c>
      <c r="AX192" s="397">
        <f t="shared" si="114"/>
        <v>0.34</v>
      </c>
      <c r="AY192" s="399" t="s">
        <v>102</v>
      </c>
      <c r="AZ192" s="398">
        <f t="shared" si="115"/>
        <v>2.6146000000000003</v>
      </c>
      <c r="BA192" s="398">
        <f t="shared" si="116"/>
        <v>0.33663366336633666</v>
      </c>
      <c r="BB192" s="398">
        <f t="shared" si="117"/>
        <v>0.14181195999999999</v>
      </c>
      <c r="BC192" s="15"/>
      <c r="BD192" s="14">
        <f t="shared" si="118"/>
        <v>0.33</v>
      </c>
      <c r="BE192" s="645" t="s">
        <v>100</v>
      </c>
      <c r="BF192" s="778">
        <f>1/1</f>
        <v>1</v>
      </c>
      <c r="BG192" s="674" t="s">
        <v>1492</v>
      </c>
      <c r="BH192" s="674"/>
      <c r="BI192" s="658" t="str">
        <f t="shared" si="93"/>
        <v>ALTO</v>
      </c>
      <c r="BJ192" s="681">
        <f t="shared" si="119"/>
        <v>0.33</v>
      </c>
      <c r="BK192" s="647" t="s">
        <v>1493</v>
      </c>
      <c r="BL192" s="682">
        <f t="shared" si="94"/>
        <v>4.2912873862158647E-2</v>
      </c>
      <c r="BM192" s="682">
        <f t="shared" si="95"/>
        <v>0.33330000000000004</v>
      </c>
      <c r="BN192" s="682">
        <f t="shared" si="96"/>
        <v>0.79118855701592461</v>
      </c>
      <c r="BO192" s="658"/>
      <c r="BP192" s="885">
        <f t="shared" si="122"/>
        <v>0.33</v>
      </c>
      <c r="BQ192" s="854" t="s">
        <v>105</v>
      </c>
      <c r="BR192" s="871">
        <v>1</v>
      </c>
      <c r="BS192" s="874" t="s">
        <v>1494</v>
      </c>
      <c r="BT192" s="872" t="s">
        <v>1495</v>
      </c>
      <c r="BU192" s="905" t="str">
        <f t="shared" si="120"/>
        <v>ALTO</v>
      </c>
      <c r="BV192" s="875">
        <f t="shared" si="124"/>
        <v>0.33</v>
      </c>
      <c r="BW192" s="859" t="s">
        <v>1496</v>
      </c>
      <c r="BX192" s="857">
        <f t="shared" si="97"/>
        <v>2.5377000000000001</v>
      </c>
      <c r="BY192" s="857">
        <f t="shared" si="98"/>
        <v>0.32673267326732675</v>
      </c>
      <c r="BZ192" s="857">
        <f t="shared" si="99"/>
        <v>0.13764102</v>
      </c>
      <c r="CA192" s="857">
        <f t="shared" si="100"/>
        <v>0.1245</v>
      </c>
      <c r="CB192" s="16">
        <f t="shared" si="101"/>
        <v>0.66</v>
      </c>
      <c r="CC192" s="16">
        <f t="shared" si="102"/>
        <v>0.34</v>
      </c>
      <c r="CD192" s="16">
        <f t="shared" si="123"/>
        <v>1</v>
      </c>
      <c r="CE192" s="16">
        <f t="shared" si="106"/>
        <v>1</v>
      </c>
      <c r="CF192" s="16" t="e">
        <f>SUM(#REF!/(CC192+CB192))</f>
        <v>#REF!</v>
      </c>
      <c r="CG192" s="17"/>
      <c r="CH192" s="17"/>
      <c r="CI192" s="17"/>
      <c r="CJ192" s="17"/>
      <c r="CK192" s="3" t="s">
        <v>165</v>
      </c>
      <c r="CV192" s="346">
        <f t="shared" si="121"/>
        <v>1</v>
      </c>
    </row>
    <row r="193" spans="1:100" s="1" customFormat="1" ht="65.099999999999994" customHeight="1" x14ac:dyDescent="0.25">
      <c r="A193" s="356" t="s">
        <v>79</v>
      </c>
      <c r="B193" s="356" t="s">
        <v>80</v>
      </c>
      <c r="C193" s="356" t="s">
        <v>81</v>
      </c>
      <c r="D193" s="356" t="s">
        <v>82</v>
      </c>
      <c r="E193" s="356" t="s">
        <v>83</v>
      </c>
      <c r="F193" s="356" t="s">
        <v>84</v>
      </c>
      <c r="G193" s="356" t="s">
        <v>85</v>
      </c>
      <c r="H193" s="356" t="s">
        <v>86</v>
      </c>
      <c r="I193" s="356" t="s">
        <v>87</v>
      </c>
      <c r="J193" s="356" t="s">
        <v>88</v>
      </c>
      <c r="K193" s="357" t="s">
        <v>7</v>
      </c>
      <c r="L193" s="357" t="s">
        <v>1307</v>
      </c>
      <c r="M193" s="357" t="s">
        <v>174</v>
      </c>
      <c r="N193" s="367" t="s">
        <v>91</v>
      </c>
      <c r="O193" s="367" t="s">
        <v>154</v>
      </c>
      <c r="P193" s="930">
        <v>39542136.277533107</v>
      </c>
      <c r="Q193" s="357" t="s">
        <v>543</v>
      </c>
      <c r="R193" s="357" t="s">
        <v>156</v>
      </c>
      <c r="S193" s="357">
        <v>3</v>
      </c>
      <c r="T193" s="371" t="s">
        <v>175</v>
      </c>
      <c r="U193" s="357" t="s">
        <v>176</v>
      </c>
      <c r="V193" s="357" t="s">
        <v>98</v>
      </c>
      <c r="W193" s="497" t="s">
        <v>159</v>
      </c>
      <c r="X193" s="432">
        <v>0</v>
      </c>
      <c r="Y193" s="432">
        <v>0.33</v>
      </c>
      <c r="Z193" s="432">
        <v>0.33</v>
      </c>
      <c r="AA193" s="444">
        <v>0.34</v>
      </c>
      <c r="AB193" s="525">
        <v>7.69</v>
      </c>
      <c r="AC193" s="413">
        <v>0.99009900990099009</v>
      </c>
      <c r="AD193" s="413">
        <v>0.41709399999999996</v>
      </c>
      <c r="AE193" s="413">
        <v>0.37727272727272726</v>
      </c>
      <c r="AF193" s="692">
        <f t="shared" si="125"/>
        <v>0</v>
      </c>
      <c r="AG193" s="693" t="s">
        <v>146</v>
      </c>
      <c r="AH193" s="718">
        <v>0</v>
      </c>
      <c r="AI193" s="713"/>
      <c r="AJ193" s="716"/>
      <c r="AK193" s="693"/>
      <c r="AL193" s="692">
        <f t="shared" si="109"/>
        <v>0</v>
      </c>
      <c r="AM193" s="697" t="s">
        <v>121</v>
      </c>
      <c r="AN193" s="693">
        <f t="shared" si="110"/>
        <v>0</v>
      </c>
      <c r="AO193" s="693">
        <f t="shared" si="111"/>
        <v>0</v>
      </c>
      <c r="AP193" s="693">
        <f t="shared" si="112"/>
        <v>0</v>
      </c>
      <c r="AQ193" s="693"/>
      <c r="AR193" s="401">
        <f t="shared" si="126"/>
        <v>0.33</v>
      </c>
      <c r="AS193" s="402" t="s">
        <v>100</v>
      </c>
      <c r="AT193" s="641">
        <f>1/1</f>
        <v>1</v>
      </c>
      <c r="AU193" s="631" t="s">
        <v>1497</v>
      </c>
      <c r="AV193" s="402"/>
      <c r="AW193" s="729" t="str">
        <f t="shared" si="113"/>
        <v>ALTO</v>
      </c>
      <c r="AX193" s="397">
        <f t="shared" si="114"/>
        <v>0.33</v>
      </c>
      <c r="AY193" s="399" t="s">
        <v>102</v>
      </c>
      <c r="AZ193" s="398">
        <f t="shared" si="115"/>
        <v>2.5377000000000001</v>
      </c>
      <c r="BA193" s="398">
        <f t="shared" si="116"/>
        <v>0.32673267326732675</v>
      </c>
      <c r="BB193" s="398">
        <f t="shared" si="117"/>
        <v>0.13764102</v>
      </c>
      <c r="BC193" s="15"/>
      <c r="BD193" s="14">
        <f t="shared" si="118"/>
        <v>0.33</v>
      </c>
      <c r="BE193" s="645" t="s">
        <v>100</v>
      </c>
      <c r="BF193" s="778">
        <f>1/1</f>
        <v>1</v>
      </c>
      <c r="BG193" s="674" t="s">
        <v>1498</v>
      </c>
      <c r="BH193" s="674"/>
      <c r="BI193" s="658" t="str">
        <f t="shared" si="93"/>
        <v>ALTO</v>
      </c>
      <c r="BJ193" s="681">
        <f t="shared" si="119"/>
        <v>0.33</v>
      </c>
      <c r="BK193" s="647" t="s">
        <v>1499</v>
      </c>
      <c r="BL193" s="682">
        <f t="shared" si="94"/>
        <v>4.2912873862158647E-2</v>
      </c>
      <c r="BM193" s="682">
        <f t="shared" si="95"/>
        <v>0.33330000000000004</v>
      </c>
      <c r="BN193" s="682">
        <f t="shared" si="96"/>
        <v>0.79118855701592461</v>
      </c>
      <c r="BO193" s="658"/>
      <c r="BP193" s="885">
        <f t="shared" si="122"/>
        <v>0.34</v>
      </c>
      <c r="BQ193" s="854" t="s">
        <v>105</v>
      </c>
      <c r="BR193" s="855">
        <v>1</v>
      </c>
      <c r="BS193" s="874" t="s">
        <v>1500</v>
      </c>
      <c r="BT193" s="872" t="s">
        <v>1495</v>
      </c>
      <c r="BU193" s="905" t="str">
        <f t="shared" si="120"/>
        <v>ALTO</v>
      </c>
      <c r="BV193" s="875">
        <f t="shared" si="124"/>
        <v>0.34</v>
      </c>
      <c r="BW193" s="859" t="s">
        <v>180</v>
      </c>
      <c r="BX193" s="857">
        <f t="shared" si="97"/>
        <v>2.6146000000000003</v>
      </c>
      <c r="BY193" s="857">
        <f t="shared" si="98"/>
        <v>0.33663366336633666</v>
      </c>
      <c r="BZ193" s="857">
        <f t="shared" si="99"/>
        <v>0.14181195999999999</v>
      </c>
      <c r="CA193" s="857">
        <f t="shared" si="100"/>
        <v>0.12827272727272729</v>
      </c>
      <c r="CB193" s="16">
        <f t="shared" si="101"/>
        <v>0.67</v>
      </c>
      <c r="CC193" s="16">
        <f t="shared" si="102"/>
        <v>0.33</v>
      </c>
      <c r="CD193" s="16">
        <f t="shared" si="123"/>
        <v>1</v>
      </c>
      <c r="CE193" s="16">
        <f t="shared" si="106"/>
        <v>1</v>
      </c>
      <c r="CF193" s="16" t="e">
        <f>SUM(#REF!/(CC193+CB193))</f>
        <v>#REF!</v>
      </c>
      <c r="CG193" s="17"/>
      <c r="CH193" s="17"/>
      <c r="CI193" s="17"/>
      <c r="CJ193" s="17"/>
      <c r="CK193" s="3" t="s">
        <v>165</v>
      </c>
      <c r="CV193" s="346">
        <f t="shared" si="121"/>
        <v>1</v>
      </c>
    </row>
    <row r="194" spans="1:100" s="1" customFormat="1" ht="65.099999999999994" customHeight="1" x14ac:dyDescent="0.25">
      <c r="A194" s="356" t="s">
        <v>79</v>
      </c>
      <c r="B194" s="356" t="s">
        <v>80</v>
      </c>
      <c r="C194" s="356" t="s">
        <v>81</v>
      </c>
      <c r="D194" s="356" t="s">
        <v>82</v>
      </c>
      <c r="E194" s="356" t="s">
        <v>83</v>
      </c>
      <c r="F194" s="356" t="s">
        <v>84</v>
      </c>
      <c r="G194" s="356" t="s">
        <v>85</v>
      </c>
      <c r="H194" s="356" t="s">
        <v>86</v>
      </c>
      <c r="I194" s="356" t="s">
        <v>87</v>
      </c>
      <c r="J194" s="356" t="s">
        <v>88</v>
      </c>
      <c r="K194" s="357" t="s">
        <v>7</v>
      </c>
      <c r="L194" s="357" t="s">
        <v>1307</v>
      </c>
      <c r="M194" s="357" t="s">
        <v>181</v>
      </c>
      <c r="N194" s="367" t="s">
        <v>91</v>
      </c>
      <c r="O194" s="367" t="s">
        <v>154</v>
      </c>
      <c r="P194" s="930">
        <v>39542136.277533107</v>
      </c>
      <c r="Q194" s="357" t="s">
        <v>543</v>
      </c>
      <c r="R194" s="357" t="s">
        <v>156</v>
      </c>
      <c r="S194" s="371">
        <v>1</v>
      </c>
      <c r="T194" s="369" t="s">
        <v>182</v>
      </c>
      <c r="U194" s="357" t="s">
        <v>183</v>
      </c>
      <c r="V194" s="357" t="s">
        <v>98</v>
      </c>
      <c r="W194" s="497" t="s">
        <v>1501</v>
      </c>
      <c r="X194" s="432">
        <v>0</v>
      </c>
      <c r="Y194" s="432">
        <v>1</v>
      </c>
      <c r="Z194" s="432">
        <v>0</v>
      </c>
      <c r="AA194" s="444">
        <v>0</v>
      </c>
      <c r="AB194" s="525">
        <v>7.69</v>
      </c>
      <c r="AC194" s="413">
        <v>0.99009900990099009</v>
      </c>
      <c r="AD194" s="413">
        <v>0.41709399999999996</v>
      </c>
      <c r="AE194" s="413">
        <v>0.37727272727272726</v>
      </c>
      <c r="AF194" s="692">
        <f t="shared" si="125"/>
        <v>0</v>
      </c>
      <c r="AG194" s="693" t="s">
        <v>146</v>
      </c>
      <c r="AH194" s="718">
        <v>0</v>
      </c>
      <c r="AI194" s="713"/>
      <c r="AJ194" s="716"/>
      <c r="AK194" s="693"/>
      <c r="AL194" s="692">
        <f t="shared" si="109"/>
        <v>0</v>
      </c>
      <c r="AM194" s="697" t="s">
        <v>121</v>
      </c>
      <c r="AN194" s="693">
        <f t="shared" si="110"/>
        <v>0</v>
      </c>
      <c r="AO194" s="693">
        <f t="shared" si="111"/>
        <v>0</v>
      </c>
      <c r="AP194" s="693">
        <f t="shared" si="112"/>
        <v>0</v>
      </c>
      <c r="AQ194" s="693"/>
      <c r="AR194" s="401">
        <f t="shared" si="126"/>
        <v>1</v>
      </c>
      <c r="AS194" s="402" t="s">
        <v>146</v>
      </c>
      <c r="AT194" s="641">
        <v>0</v>
      </c>
      <c r="AU194" s="631"/>
      <c r="AV194" s="402"/>
      <c r="AW194" s="729" t="str">
        <f t="shared" si="113"/>
        <v>BAJO</v>
      </c>
      <c r="AX194" s="397">
        <f t="shared" si="114"/>
        <v>0</v>
      </c>
      <c r="AY194" s="399" t="s">
        <v>121</v>
      </c>
      <c r="AZ194" s="398">
        <f t="shared" si="115"/>
        <v>0</v>
      </c>
      <c r="BA194" s="398">
        <f t="shared" si="116"/>
        <v>0</v>
      </c>
      <c r="BB194" s="398">
        <f t="shared" si="117"/>
        <v>0</v>
      </c>
      <c r="BC194" s="15"/>
      <c r="BD194" s="14">
        <f t="shared" si="118"/>
        <v>0</v>
      </c>
      <c r="BE194" s="645" t="s">
        <v>100</v>
      </c>
      <c r="BF194" s="778">
        <v>0</v>
      </c>
      <c r="BG194" s="674"/>
      <c r="BH194" s="674"/>
      <c r="BI194" s="658" t="str">
        <f t="shared" si="93"/>
        <v>BAJO</v>
      </c>
      <c r="BJ194" s="681">
        <f t="shared" si="119"/>
        <v>0</v>
      </c>
      <c r="BK194" s="658" t="s">
        <v>1502</v>
      </c>
      <c r="BL194" s="682">
        <f t="shared" si="94"/>
        <v>0</v>
      </c>
      <c r="BM194" s="682">
        <f t="shared" si="95"/>
        <v>0</v>
      </c>
      <c r="BN194" s="682">
        <f t="shared" si="96"/>
        <v>0</v>
      </c>
      <c r="BO194" s="658"/>
      <c r="BP194" s="885">
        <f t="shared" si="122"/>
        <v>0</v>
      </c>
      <c r="BQ194" s="854" t="s">
        <v>105</v>
      </c>
      <c r="BR194" s="871">
        <v>1</v>
      </c>
      <c r="BS194" s="874" t="s">
        <v>1503</v>
      </c>
      <c r="BT194" s="872" t="s">
        <v>1504</v>
      </c>
      <c r="BU194" s="905" t="str">
        <f t="shared" si="120"/>
        <v>ALTO</v>
      </c>
      <c r="BV194" s="875">
        <f t="shared" si="124"/>
        <v>0</v>
      </c>
      <c r="BW194" s="859" t="s">
        <v>1505</v>
      </c>
      <c r="BX194" s="857">
        <f t="shared" si="97"/>
        <v>0</v>
      </c>
      <c r="BY194" s="857">
        <f t="shared" si="98"/>
        <v>0</v>
      </c>
      <c r="BZ194" s="857">
        <f t="shared" si="99"/>
        <v>0</v>
      </c>
      <c r="CA194" s="857">
        <f t="shared" si="100"/>
        <v>0</v>
      </c>
      <c r="CB194" s="16">
        <f t="shared" si="101"/>
        <v>0</v>
      </c>
      <c r="CC194" s="16">
        <f t="shared" si="102"/>
        <v>1</v>
      </c>
      <c r="CD194" s="16">
        <f t="shared" si="123"/>
        <v>1</v>
      </c>
      <c r="CE194" s="16">
        <f t="shared" si="106"/>
        <v>0</v>
      </c>
      <c r="CF194" s="16" t="e">
        <f>SUM(#REF!/(CC194+CB194))</f>
        <v>#REF!</v>
      </c>
      <c r="CG194" s="17"/>
      <c r="CH194" s="17"/>
      <c r="CI194" s="17"/>
      <c r="CJ194" s="17"/>
      <c r="CK194" s="1" t="s">
        <v>165</v>
      </c>
      <c r="CV194" s="346">
        <f t="shared" si="121"/>
        <v>1</v>
      </c>
    </row>
    <row r="195" spans="1:100" s="1" customFormat="1" ht="65.099999999999994" customHeight="1" x14ac:dyDescent="0.25">
      <c r="A195" s="356" t="s">
        <v>79</v>
      </c>
      <c r="B195" s="356" t="s">
        <v>80</v>
      </c>
      <c r="C195" s="356" t="s">
        <v>81</v>
      </c>
      <c r="D195" s="356" t="s">
        <v>82</v>
      </c>
      <c r="E195" s="356" t="s">
        <v>83</v>
      </c>
      <c r="F195" s="356" t="s">
        <v>84</v>
      </c>
      <c r="G195" s="356" t="s">
        <v>85</v>
      </c>
      <c r="H195" s="356" t="s">
        <v>86</v>
      </c>
      <c r="I195" s="356" t="s">
        <v>87</v>
      </c>
      <c r="J195" s="356" t="s">
        <v>88</v>
      </c>
      <c r="K195" s="357" t="s">
        <v>7</v>
      </c>
      <c r="L195" s="357" t="s">
        <v>1307</v>
      </c>
      <c r="M195" s="368" t="s">
        <v>190</v>
      </c>
      <c r="N195" s="367" t="s">
        <v>91</v>
      </c>
      <c r="O195" s="367" t="s">
        <v>154</v>
      </c>
      <c r="P195" s="930">
        <v>39542136.277533107</v>
      </c>
      <c r="Q195" s="357" t="s">
        <v>543</v>
      </c>
      <c r="R195" s="357" t="s">
        <v>156</v>
      </c>
      <c r="S195" s="378">
        <v>1</v>
      </c>
      <c r="T195" s="369" t="s">
        <v>191</v>
      </c>
      <c r="U195" s="357" t="s">
        <v>158</v>
      </c>
      <c r="V195" s="357" t="s">
        <v>98</v>
      </c>
      <c r="W195" s="497" t="s">
        <v>634</v>
      </c>
      <c r="X195" s="432">
        <v>0</v>
      </c>
      <c r="Y195" s="432">
        <v>0</v>
      </c>
      <c r="Z195" s="432">
        <v>0.34</v>
      </c>
      <c r="AA195" s="444">
        <v>0.66</v>
      </c>
      <c r="AB195" s="525">
        <v>7.69</v>
      </c>
      <c r="AC195" s="413">
        <v>0.99009900990099009</v>
      </c>
      <c r="AD195" s="413">
        <v>0.41709399999999996</v>
      </c>
      <c r="AE195" s="413">
        <v>0.37727272727272726</v>
      </c>
      <c r="AF195" s="692">
        <f t="shared" si="125"/>
        <v>0</v>
      </c>
      <c r="AG195" s="693" t="s">
        <v>146</v>
      </c>
      <c r="AH195" s="718">
        <v>0</v>
      </c>
      <c r="AI195" s="713"/>
      <c r="AJ195" s="716"/>
      <c r="AK195" s="693"/>
      <c r="AL195" s="692">
        <f t="shared" si="109"/>
        <v>0</v>
      </c>
      <c r="AM195" s="697" t="s">
        <v>121</v>
      </c>
      <c r="AN195" s="693">
        <f t="shared" si="110"/>
        <v>0</v>
      </c>
      <c r="AO195" s="693">
        <f t="shared" si="111"/>
        <v>0</v>
      </c>
      <c r="AP195" s="693">
        <f t="shared" si="112"/>
        <v>0</v>
      </c>
      <c r="AQ195" s="693"/>
      <c r="AR195" s="401">
        <f t="shared" si="126"/>
        <v>0</v>
      </c>
      <c r="AS195" s="402" t="s">
        <v>146</v>
      </c>
      <c r="AT195" s="641">
        <v>0</v>
      </c>
      <c r="AU195" s="631" t="s">
        <v>1506</v>
      </c>
      <c r="AV195" s="402"/>
      <c r="AW195" s="729" t="str">
        <f t="shared" si="113"/>
        <v>BAJO</v>
      </c>
      <c r="AX195" s="397">
        <f t="shared" si="114"/>
        <v>0</v>
      </c>
      <c r="AY195" s="399"/>
      <c r="AZ195" s="398">
        <f t="shared" si="115"/>
        <v>0</v>
      </c>
      <c r="BA195" s="398">
        <f t="shared" si="116"/>
        <v>0</v>
      </c>
      <c r="BB195" s="398">
        <f t="shared" si="117"/>
        <v>0</v>
      </c>
      <c r="BC195" s="15"/>
      <c r="BD195" s="14">
        <f t="shared" si="118"/>
        <v>0.34</v>
      </c>
      <c r="BE195" s="645" t="s">
        <v>100</v>
      </c>
      <c r="BF195" s="778">
        <v>0</v>
      </c>
      <c r="BG195" s="674" t="s">
        <v>1507</v>
      </c>
      <c r="BH195" s="674"/>
      <c r="BI195" s="658" t="str">
        <f t="shared" si="93"/>
        <v>BAJO</v>
      </c>
      <c r="BJ195" s="681">
        <f t="shared" si="119"/>
        <v>0</v>
      </c>
      <c r="BK195" s="647" t="s">
        <v>1508</v>
      </c>
      <c r="BL195" s="682">
        <f t="shared" si="94"/>
        <v>0</v>
      </c>
      <c r="BM195" s="682">
        <f t="shared" si="95"/>
        <v>0</v>
      </c>
      <c r="BN195" s="682">
        <f t="shared" si="96"/>
        <v>0</v>
      </c>
      <c r="BO195" s="658"/>
      <c r="BP195" s="885">
        <f t="shared" si="122"/>
        <v>0.66</v>
      </c>
      <c r="BQ195" s="854" t="s">
        <v>105</v>
      </c>
      <c r="BR195" s="871">
        <v>1</v>
      </c>
      <c r="BS195" s="874" t="s">
        <v>1509</v>
      </c>
      <c r="BT195" s="872" t="s">
        <v>1510</v>
      </c>
      <c r="BU195" s="905" t="str">
        <f t="shared" si="120"/>
        <v>ALTO</v>
      </c>
      <c r="BV195" s="875">
        <f t="shared" si="124"/>
        <v>0.66</v>
      </c>
      <c r="BW195" s="859" t="s">
        <v>1511</v>
      </c>
      <c r="BX195" s="857">
        <f t="shared" si="97"/>
        <v>5.0754000000000001</v>
      </c>
      <c r="BY195" s="857">
        <f t="shared" si="98"/>
        <v>0.65346534653465349</v>
      </c>
      <c r="BZ195" s="857">
        <f t="shared" si="99"/>
        <v>0.27528204000000001</v>
      </c>
      <c r="CA195" s="857">
        <f t="shared" si="100"/>
        <v>0.249</v>
      </c>
      <c r="CB195" s="16">
        <f t="shared" si="101"/>
        <v>1</v>
      </c>
      <c r="CC195" s="16">
        <f t="shared" si="102"/>
        <v>0</v>
      </c>
      <c r="CD195" s="16">
        <f t="shared" si="123"/>
        <v>1</v>
      </c>
      <c r="CE195" s="16">
        <f t="shared" si="106"/>
        <v>0.66</v>
      </c>
      <c r="CF195" s="16" t="e">
        <f>SUM(#REF!/(CC195+CB195))</f>
        <v>#REF!</v>
      </c>
      <c r="CG195" s="17"/>
      <c r="CH195" s="17"/>
      <c r="CI195" s="17"/>
      <c r="CJ195" s="17"/>
      <c r="CK195" s="3" t="s">
        <v>165</v>
      </c>
      <c r="CV195" s="346">
        <f t="shared" si="121"/>
        <v>1</v>
      </c>
    </row>
    <row r="196" spans="1:100" s="1" customFormat="1" ht="65.099999999999994" customHeight="1" x14ac:dyDescent="0.25">
      <c r="A196" s="356" t="s">
        <v>79</v>
      </c>
      <c r="B196" s="356" t="s">
        <v>80</v>
      </c>
      <c r="C196" s="356" t="s">
        <v>81</v>
      </c>
      <c r="D196" s="356" t="s">
        <v>82</v>
      </c>
      <c r="E196" s="356" t="s">
        <v>83</v>
      </c>
      <c r="F196" s="356" t="s">
        <v>84</v>
      </c>
      <c r="G196" s="356" t="s">
        <v>85</v>
      </c>
      <c r="H196" s="356" t="s">
        <v>86</v>
      </c>
      <c r="I196" s="356" t="s">
        <v>87</v>
      </c>
      <c r="J196" s="356" t="s">
        <v>152</v>
      </c>
      <c r="K196" s="357" t="s">
        <v>7</v>
      </c>
      <c r="L196" s="357" t="s">
        <v>1307</v>
      </c>
      <c r="M196" s="357" t="s">
        <v>195</v>
      </c>
      <c r="N196" s="367" t="s">
        <v>91</v>
      </c>
      <c r="O196" s="367" t="s">
        <v>154</v>
      </c>
      <c r="P196" s="930">
        <v>39542136.277533107</v>
      </c>
      <c r="Q196" s="357" t="s">
        <v>543</v>
      </c>
      <c r="R196" s="357" t="s">
        <v>156</v>
      </c>
      <c r="S196" s="357">
        <v>7</v>
      </c>
      <c r="T196" s="369" t="s">
        <v>196</v>
      </c>
      <c r="U196" s="357" t="s">
        <v>158</v>
      </c>
      <c r="V196" s="370" t="s">
        <v>98</v>
      </c>
      <c r="W196" s="497" t="s">
        <v>197</v>
      </c>
      <c r="X196" s="432">
        <v>0</v>
      </c>
      <c r="Y196" s="432">
        <f>1/7</f>
        <v>0.14285714285714285</v>
      </c>
      <c r="Z196" s="432">
        <f>3/7</f>
        <v>0.42857142857142855</v>
      </c>
      <c r="AA196" s="444">
        <f>3/7</f>
        <v>0.42857142857142855</v>
      </c>
      <c r="AB196" s="525">
        <v>7.69</v>
      </c>
      <c r="AC196" s="413">
        <v>0.99009900990099009</v>
      </c>
      <c r="AD196" s="413">
        <v>0.41709399999999996</v>
      </c>
      <c r="AE196" s="413">
        <v>0.37727272727272726</v>
      </c>
      <c r="AF196" s="692">
        <f t="shared" si="125"/>
        <v>0</v>
      </c>
      <c r="AG196" s="693" t="s">
        <v>146</v>
      </c>
      <c r="AH196" s="718">
        <v>0</v>
      </c>
      <c r="AI196" s="713"/>
      <c r="AJ196" s="716"/>
      <c r="AK196" s="693"/>
      <c r="AL196" s="692">
        <f t="shared" si="109"/>
        <v>0</v>
      </c>
      <c r="AM196" s="697" t="s">
        <v>121</v>
      </c>
      <c r="AN196" s="693">
        <f t="shared" si="110"/>
        <v>0</v>
      </c>
      <c r="AO196" s="693">
        <f t="shared" si="111"/>
        <v>0</v>
      </c>
      <c r="AP196" s="693">
        <f t="shared" si="112"/>
        <v>0</v>
      </c>
      <c r="AQ196" s="693"/>
      <c r="AR196" s="401">
        <f t="shared" si="126"/>
        <v>0.14285714285714285</v>
      </c>
      <c r="AS196" s="402" t="s">
        <v>100</v>
      </c>
      <c r="AT196" s="641">
        <v>0</v>
      </c>
      <c r="AU196" s="631" t="s">
        <v>1512</v>
      </c>
      <c r="AV196" s="402"/>
      <c r="AW196" s="729" t="str">
        <f t="shared" si="113"/>
        <v>BAJO</v>
      </c>
      <c r="AX196" s="397">
        <f t="shared" si="114"/>
        <v>0</v>
      </c>
      <c r="AY196" s="399" t="s">
        <v>1513</v>
      </c>
      <c r="AZ196" s="398">
        <f t="shared" si="115"/>
        <v>0</v>
      </c>
      <c r="BA196" s="398">
        <f t="shared" si="116"/>
        <v>0</v>
      </c>
      <c r="BB196" s="398">
        <f t="shared" si="117"/>
        <v>0</v>
      </c>
      <c r="BC196" s="15"/>
      <c r="BD196" s="14">
        <f t="shared" si="118"/>
        <v>0.42857142857142855</v>
      </c>
      <c r="BE196" s="645" t="s">
        <v>100</v>
      </c>
      <c r="BF196" s="778">
        <v>0</v>
      </c>
      <c r="BG196" s="674" t="s">
        <v>1514</v>
      </c>
      <c r="BH196" s="674"/>
      <c r="BI196" s="658" t="str">
        <f t="shared" si="93"/>
        <v>BAJO</v>
      </c>
      <c r="BJ196" s="681">
        <f t="shared" si="119"/>
        <v>0</v>
      </c>
      <c r="BK196" s="647" t="s">
        <v>1515</v>
      </c>
      <c r="BL196" s="682">
        <f t="shared" si="94"/>
        <v>0</v>
      </c>
      <c r="BM196" s="682">
        <f t="shared" si="95"/>
        <v>0</v>
      </c>
      <c r="BN196" s="682">
        <f t="shared" si="96"/>
        <v>0</v>
      </c>
      <c r="BO196" s="658"/>
      <c r="BP196" s="885">
        <f t="shared" si="122"/>
        <v>0.42857142857142855</v>
      </c>
      <c r="BQ196" s="854" t="s">
        <v>105</v>
      </c>
      <c r="BR196" s="871">
        <f>2/3</f>
        <v>0.66666666666666663</v>
      </c>
      <c r="BS196" s="874" t="s">
        <v>1516</v>
      </c>
      <c r="BT196" s="872" t="s">
        <v>1517</v>
      </c>
      <c r="BU196" s="906" t="str">
        <f t="shared" si="120"/>
        <v>MEDIO</v>
      </c>
      <c r="BV196" s="875">
        <f t="shared" si="124"/>
        <v>0.2857142857142857</v>
      </c>
      <c r="BW196" s="859" t="s">
        <v>1518</v>
      </c>
      <c r="BX196" s="857">
        <f t="shared" si="97"/>
        <v>2.1971428571428571</v>
      </c>
      <c r="BY196" s="857">
        <f t="shared" si="98"/>
        <v>0.28288543140028288</v>
      </c>
      <c r="BZ196" s="857">
        <f t="shared" si="99"/>
        <v>0.11916971428571427</v>
      </c>
      <c r="CA196" s="857">
        <f t="shared" si="100"/>
        <v>0.10779220779220779</v>
      </c>
      <c r="CB196" s="16">
        <f t="shared" si="101"/>
        <v>0.8571428571428571</v>
      </c>
      <c r="CC196" s="16">
        <f t="shared" si="102"/>
        <v>0.14285714285714285</v>
      </c>
      <c r="CD196" s="16">
        <f t="shared" si="123"/>
        <v>1</v>
      </c>
      <c r="CE196" s="16">
        <f t="shared" si="106"/>
        <v>0.2857142857142857</v>
      </c>
      <c r="CF196" s="16" t="e">
        <f>SUM(#REF!/(CC196+CB196))</f>
        <v>#REF!</v>
      </c>
      <c r="CG196" s="17"/>
      <c r="CH196" s="17"/>
      <c r="CI196" s="17"/>
      <c r="CJ196" s="17"/>
      <c r="CK196" s="3" t="s">
        <v>165</v>
      </c>
      <c r="CV196" s="346">
        <f t="shared" si="121"/>
        <v>1</v>
      </c>
    </row>
    <row r="197" spans="1:100" s="1" customFormat="1" ht="65.099999999999994" customHeight="1" x14ac:dyDescent="0.25">
      <c r="A197" s="356" t="s">
        <v>79</v>
      </c>
      <c r="B197" s="356" t="s">
        <v>80</v>
      </c>
      <c r="C197" s="356" t="s">
        <v>81</v>
      </c>
      <c r="D197" s="356" t="s">
        <v>82</v>
      </c>
      <c r="E197" s="356" t="s">
        <v>83</v>
      </c>
      <c r="F197" s="356" t="s">
        <v>84</v>
      </c>
      <c r="G197" s="356" t="s">
        <v>85</v>
      </c>
      <c r="H197" s="356" t="s">
        <v>86</v>
      </c>
      <c r="I197" s="356" t="s">
        <v>87</v>
      </c>
      <c r="J197" s="356" t="s">
        <v>152</v>
      </c>
      <c r="K197" s="357" t="s">
        <v>7</v>
      </c>
      <c r="L197" s="357" t="s">
        <v>1307</v>
      </c>
      <c r="M197" s="357" t="s">
        <v>201</v>
      </c>
      <c r="N197" s="367" t="s">
        <v>91</v>
      </c>
      <c r="O197" s="367" t="s">
        <v>202</v>
      </c>
      <c r="P197" s="930">
        <v>39542136.277533107</v>
      </c>
      <c r="Q197" s="357" t="s">
        <v>543</v>
      </c>
      <c r="R197" s="357" t="s">
        <v>156</v>
      </c>
      <c r="S197" s="378">
        <v>1</v>
      </c>
      <c r="T197" s="369" t="s">
        <v>203</v>
      </c>
      <c r="U197" s="357" t="s">
        <v>204</v>
      </c>
      <c r="V197" s="357" t="s">
        <v>98</v>
      </c>
      <c r="W197" s="497" t="s">
        <v>205</v>
      </c>
      <c r="X197" s="432">
        <v>0</v>
      </c>
      <c r="Y197" s="432">
        <v>0</v>
      </c>
      <c r="Z197" s="432">
        <v>0</v>
      </c>
      <c r="AA197" s="444">
        <v>1</v>
      </c>
      <c r="AB197" s="525">
        <v>7.69</v>
      </c>
      <c r="AC197" s="413">
        <v>0.99009900990099009</v>
      </c>
      <c r="AD197" s="413">
        <v>0.41709399999999996</v>
      </c>
      <c r="AE197" s="413">
        <v>0.37727272727272726</v>
      </c>
      <c r="AF197" s="692">
        <f t="shared" si="125"/>
        <v>0</v>
      </c>
      <c r="AG197" s="693" t="s">
        <v>146</v>
      </c>
      <c r="AH197" s="718">
        <v>0</v>
      </c>
      <c r="AI197" s="713"/>
      <c r="AJ197" s="716"/>
      <c r="AK197" s="693"/>
      <c r="AL197" s="692">
        <f t="shared" si="109"/>
        <v>0</v>
      </c>
      <c r="AM197" s="697" t="s">
        <v>121</v>
      </c>
      <c r="AN197" s="693">
        <f t="shared" si="110"/>
        <v>0</v>
      </c>
      <c r="AO197" s="693">
        <f t="shared" si="111"/>
        <v>0</v>
      </c>
      <c r="AP197" s="693">
        <f t="shared" si="112"/>
        <v>0</v>
      </c>
      <c r="AQ197" s="693"/>
      <c r="AR197" s="401">
        <f t="shared" si="126"/>
        <v>0</v>
      </c>
      <c r="AS197" s="402" t="s">
        <v>146</v>
      </c>
      <c r="AT197" s="641">
        <v>0</v>
      </c>
      <c r="AU197" s="631"/>
      <c r="AV197" s="402"/>
      <c r="AW197" s="729"/>
      <c r="AX197" s="397">
        <f t="shared" si="114"/>
        <v>0</v>
      </c>
      <c r="AY197" s="399" t="s">
        <v>121</v>
      </c>
      <c r="AZ197" s="398">
        <f t="shared" si="115"/>
        <v>0</v>
      </c>
      <c r="BA197" s="398">
        <f t="shared" si="116"/>
        <v>0</v>
      </c>
      <c r="BB197" s="398">
        <f t="shared" si="117"/>
        <v>0</v>
      </c>
      <c r="BC197" s="15"/>
      <c r="BD197" s="14">
        <f t="shared" si="118"/>
        <v>0</v>
      </c>
      <c r="BE197" s="645" t="s">
        <v>146</v>
      </c>
      <c r="BF197" s="778"/>
      <c r="BG197" s="674" t="s">
        <v>1519</v>
      </c>
      <c r="BH197" s="674"/>
      <c r="BI197" s="658" t="str">
        <f t="shared" si="93"/>
        <v>BAJO</v>
      </c>
      <c r="BJ197" s="681">
        <f t="shared" si="119"/>
        <v>0</v>
      </c>
      <c r="BK197" s="658" t="s">
        <v>149</v>
      </c>
      <c r="BL197" s="682">
        <f t="shared" si="94"/>
        <v>0</v>
      </c>
      <c r="BM197" s="682">
        <f t="shared" si="95"/>
        <v>0</v>
      </c>
      <c r="BN197" s="682">
        <f t="shared" si="96"/>
        <v>0</v>
      </c>
      <c r="BO197" s="658"/>
      <c r="BP197" s="885">
        <f t="shared" si="122"/>
        <v>1</v>
      </c>
      <c r="BQ197" s="854" t="s">
        <v>105</v>
      </c>
      <c r="BR197" s="871">
        <v>1</v>
      </c>
      <c r="BS197" s="874" t="s">
        <v>1520</v>
      </c>
      <c r="BT197" s="872" t="s">
        <v>1521</v>
      </c>
      <c r="BU197" s="905" t="str">
        <f t="shared" si="120"/>
        <v>ALTO</v>
      </c>
      <c r="BV197" s="875">
        <f t="shared" si="124"/>
        <v>1</v>
      </c>
      <c r="BW197" s="859" t="s">
        <v>877</v>
      </c>
      <c r="BX197" s="857">
        <f t="shared" si="97"/>
        <v>7.69</v>
      </c>
      <c r="BY197" s="857">
        <f t="shared" si="98"/>
        <v>0.99009900990099009</v>
      </c>
      <c r="BZ197" s="857">
        <f t="shared" si="99"/>
        <v>0.41709399999999996</v>
      </c>
      <c r="CA197" s="857">
        <f t="shared" si="100"/>
        <v>0.37727272727272726</v>
      </c>
      <c r="CB197" s="16">
        <f t="shared" si="101"/>
        <v>1</v>
      </c>
      <c r="CC197" s="16">
        <f t="shared" si="102"/>
        <v>0</v>
      </c>
      <c r="CD197" s="16">
        <f t="shared" si="123"/>
        <v>1</v>
      </c>
      <c r="CE197" s="16">
        <f t="shared" si="106"/>
        <v>1</v>
      </c>
      <c r="CF197" s="16" t="e">
        <f>SUM(#REF!/(CC197+CB197))</f>
        <v>#REF!</v>
      </c>
      <c r="CG197" s="17"/>
      <c r="CH197" s="17"/>
      <c r="CI197" s="17"/>
      <c r="CJ197" s="17"/>
      <c r="CK197" s="3" t="s">
        <v>165</v>
      </c>
      <c r="CV197" s="346">
        <f t="shared" si="121"/>
        <v>1</v>
      </c>
    </row>
    <row r="198" spans="1:100" s="1" customFormat="1" ht="105" customHeight="1" x14ac:dyDescent="0.2">
      <c r="A198" s="354" t="s">
        <v>79</v>
      </c>
      <c r="B198" s="354" t="s">
        <v>80</v>
      </c>
      <c r="C198" s="354" t="s">
        <v>81</v>
      </c>
      <c r="D198" s="354" t="s">
        <v>82</v>
      </c>
      <c r="E198" s="354" t="s">
        <v>83</v>
      </c>
      <c r="F198" s="354" t="s">
        <v>84</v>
      </c>
      <c r="G198" s="354" t="s">
        <v>85</v>
      </c>
      <c r="H198" s="354" t="s">
        <v>86</v>
      </c>
      <c r="I198" s="354" t="s">
        <v>87</v>
      </c>
      <c r="J198" s="354" t="s">
        <v>152</v>
      </c>
      <c r="K198" s="348" t="s">
        <v>8</v>
      </c>
      <c r="L198" s="348" t="s">
        <v>539</v>
      </c>
      <c r="M198" s="686" t="s">
        <v>1522</v>
      </c>
      <c r="N198" s="361" t="s">
        <v>541</v>
      </c>
      <c r="O198" s="361" t="s">
        <v>126</v>
      </c>
      <c r="P198" s="922">
        <v>39542136.277533107</v>
      </c>
      <c r="Q198" s="393" t="s">
        <v>543</v>
      </c>
      <c r="R198" s="348" t="s">
        <v>213</v>
      </c>
      <c r="S198" s="348">
        <v>5</v>
      </c>
      <c r="T198" s="348" t="s">
        <v>1523</v>
      </c>
      <c r="U198" s="348" t="s">
        <v>1524</v>
      </c>
      <c r="V198" s="348" t="s">
        <v>98</v>
      </c>
      <c r="W198" s="355" t="s">
        <v>1525</v>
      </c>
      <c r="X198" s="445">
        <v>0</v>
      </c>
      <c r="Y198" s="430"/>
      <c r="Z198" s="430">
        <v>0.6</v>
      </c>
      <c r="AA198" s="431">
        <f>2/5</f>
        <v>0.4</v>
      </c>
      <c r="AB198" s="525">
        <v>5</v>
      </c>
      <c r="AC198" s="413">
        <v>0.99009900990099009</v>
      </c>
      <c r="AD198" s="413">
        <v>0.27111109999999999</v>
      </c>
      <c r="AE198" s="413">
        <v>0.37727272727272726</v>
      </c>
      <c r="AF198" s="692">
        <f t="shared" si="125"/>
        <v>0</v>
      </c>
      <c r="AG198" s="693" t="s">
        <v>146</v>
      </c>
      <c r="AH198" s="718">
        <v>0</v>
      </c>
      <c r="AI198" s="713"/>
      <c r="AJ198" s="719"/>
      <c r="AK198" s="693"/>
      <c r="AL198" s="692">
        <f t="shared" si="109"/>
        <v>0</v>
      </c>
      <c r="AM198" s="697" t="s">
        <v>121</v>
      </c>
      <c r="AN198" s="693">
        <f t="shared" si="110"/>
        <v>0</v>
      </c>
      <c r="AO198" s="693">
        <f t="shared" si="111"/>
        <v>0</v>
      </c>
      <c r="AP198" s="693">
        <f t="shared" si="112"/>
        <v>0</v>
      </c>
      <c r="AQ198" s="693"/>
      <c r="AR198" s="401">
        <f t="shared" si="126"/>
        <v>0</v>
      </c>
      <c r="AS198" s="402" t="s">
        <v>100</v>
      </c>
      <c r="AT198" s="641">
        <v>0</v>
      </c>
      <c r="AU198" s="631"/>
      <c r="AV198" s="746"/>
      <c r="AW198" s="729" t="str">
        <f t="shared" si="113"/>
        <v>BAJO</v>
      </c>
      <c r="AX198" s="397">
        <f t="shared" si="114"/>
        <v>0</v>
      </c>
      <c r="AY198" s="399" t="s">
        <v>1526</v>
      </c>
      <c r="AZ198" s="398">
        <f t="shared" si="115"/>
        <v>0</v>
      </c>
      <c r="BA198" s="398">
        <f t="shared" si="116"/>
        <v>0</v>
      </c>
      <c r="BB198" s="398">
        <f t="shared" si="117"/>
        <v>0</v>
      </c>
      <c r="BC198" s="15"/>
      <c r="BD198" s="14">
        <f t="shared" si="118"/>
        <v>0.6</v>
      </c>
      <c r="BE198" s="650" t="s">
        <v>100</v>
      </c>
      <c r="BF198" s="649">
        <v>1</v>
      </c>
      <c r="BG198" s="779" t="s">
        <v>1527</v>
      </c>
      <c r="BH198" s="780"/>
      <c r="BI198" s="658" t="str">
        <f t="shared" si="93"/>
        <v>ALTO</v>
      </c>
      <c r="BJ198" s="681">
        <f t="shared" si="119"/>
        <v>0.6</v>
      </c>
      <c r="BK198" s="647" t="s">
        <v>1528</v>
      </c>
      <c r="BL198" s="682">
        <f t="shared" si="94"/>
        <v>0.12</v>
      </c>
      <c r="BM198" s="682">
        <f t="shared" si="95"/>
        <v>0.60599999999999998</v>
      </c>
      <c r="BN198" s="682">
        <f t="shared" si="96"/>
        <v>2.2131148447997888</v>
      </c>
      <c r="BO198" s="658"/>
      <c r="BP198" s="885">
        <f t="shared" si="122"/>
        <v>0.4</v>
      </c>
      <c r="BQ198" s="854" t="s">
        <v>105</v>
      </c>
      <c r="BR198" s="871">
        <f>100/100</f>
        <v>1</v>
      </c>
      <c r="BS198" s="874" t="s">
        <v>1529</v>
      </c>
      <c r="BT198" s="872" t="s">
        <v>1530</v>
      </c>
      <c r="BU198" s="905" t="str">
        <f t="shared" si="120"/>
        <v>ALTO</v>
      </c>
      <c r="BV198" s="875">
        <f t="shared" si="124"/>
        <v>0.4</v>
      </c>
      <c r="BW198" s="859" t="s">
        <v>1023</v>
      </c>
      <c r="BX198" s="857">
        <f t="shared" si="97"/>
        <v>2</v>
      </c>
      <c r="BY198" s="857">
        <f t="shared" si="98"/>
        <v>0.39603960396039606</v>
      </c>
      <c r="BZ198" s="857">
        <f t="shared" si="99"/>
        <v>0.10844444</v>
      </c>
      <c r="CA198" s="857">
        <f t="shared" si="100"/>
        <v>0.15090909090909091</v>
      </c>
      <c r="CB198" s="16">
        <f t="shared" si="101"/>
        <v>1</v>
      </c>
      <c r="CC198" s="16">
        <f t="shared" si="102"/>
        <v>0</v>
      </c>
      <c r="CD198" s="16">
        <f t="shared" si="123"/>
        <v>1</v>
      </c>
      <c r="CE198" s="16">
        <f t="shared" si="106"/>
        <v>1</v>
      </c>
      <c r="CF198" s="16" t="e">
        <f>SUM(#REF!/(CC198+CB198))</f>
        <v>#REF!</v>
      </c>
      <c r="CG198" s="17"/>
      <c r="CH198" s="17"/>
      <c r="CI198" s="17"/>
      <c r="CJ198" s="17"/>
      <c r="CV198" s="346">
        <f t="shared" si="121"/>
        <v>1</v>
      </c>
    </row>
    <row r="199" spans="1:100" s="1" customFormat="1" ht="65.099999999999994" customHeight="1" x14ac:dyDescent="0.2">
      <c r="A199" s="354" t="s">
        <v>79</v>
      </c>
      <c r="B199" s="354" t="s">
        <v>80</v>
      </c>
      <c r="C199" s="354" t="s">
        <v>81</v>
      </c>
      <c r="D199" s="354" t="s">
        <v>82</v>
      </c>
      <c r="E199" s="354" t="s">
        <v>83</v>
      </c>
      <c r="F199" s="354" t="s">
        <v>84</v>
      </c>
      <c r="G199" s="354" t="s">
        <v>85</v>
      </c>
      <c r="H199" s="354" t="s">
        <v>86</v>
      </c>
      <c r="I199" s="354" t="s">
        <v>87</v>
      </c>
      <c r="J199" s="354" t="s">
        <v>152</v>
      </c>
      <c r="K199" s="348" t="s">
        <v>8</v>
      </c>
      <c r="L199" s="348" t="s">
        <v>539</v>
      </c>
      <c r="M199" s="686" t="s">
        <v>1531</v>
      </c>
      <c r="N199" s="361" t="s">
        <v>541</v>
      </c>
      <c r="O199" s="361" t="s">
        <v>126</v>
      </c>
      <c r="P199" s="922">
        <v>39542136.277533107</v>
      </c>
      <c r="Q199" s="393" t="s">
        <v>543</v>
      </c>
      <c r="R199" s="348" t="s">
        <v>213</v>
      </c>
      <c r="S199" s="348">
        <v>4</v>
      </c>
      <c r="T199" s="348" t="s">
        <v>1532</v>
      </c>
      <c r="U199" s="348" t="s">
        <v>1533</v>
      </c>
      <c r="V199" s="348" t="s">
        <v>98</v>
      </c>
      <c r="W199" s="355" t="s">
        <v>1534</v>
      </c>
      <c r="X199" s="445">
        <v>0.25</v>
      </c>
      <c r="Y199" s="430">
        <v>0.25</v>
      </c>
      <c r="Z199" s="430">
        <v>0.25</v>
      </c>
      <c r="AA199" s="431">
        <v>0.25</v>
      </c>
      <c r="AB199" s="525">
        <v>5</v>
      </c>
      <c r="AC199" s="413">
        <v>0.99009900990099009</v>
      </c>
      <c r="AD199" s="413">
        <v>0.27111109999999999</v>
      </c>
      <c r="AE199" s="413">
        <v>0.37727272727272726</v>
      </c>
      <c r="AF199" s="692">
        <f t="shared" si="125"/>
        <v>0.25</v>
      </c>
      <c r="AG199" s="693" t="s">
        <v>100</v>
      </c>
      <c r="AH199" s="720">
        <f>1/1</f>
        <v>1</v>
      </c>
      <c r="AI199" s="713" t="s">
        <v>1535</v>
      </c>
      <c r="AJ199" s="719"/>
      <c r="AK199" s="693" t="str">
        <f>+IF(AND(AH199&gt;=0%,AH199&lt;=60%),"BAJO",IF(AND(AH199&gt;=61%,AH199&lt;=80%),"MEDIO","ALTO"))</f>
        <v>ALTO</v>
      </c>
      <c r="AL199" s="692">
        <f t="shared" si="109"/>
        <v>0.25</v>
      </c>
      <c r="AM199" s="697" t="s">
        <v>102</v>
      </c>
      <c r="AN199" s="693">
        <f t="shared" si="110"/>
        <v>1.25</v>
      </c>
      <c r="AO199" s="693">
        <f t="shared" si="111"/>
        <v>0.24752475247524752</v>
      </c>
      <c r="AP199" s="693">
        <f t="shared" si="112"/>
        <v>6.7777774999999998E-2</v>
      </c>
      <c r="AQ199" s="693"/>
      <c r="AR199" s="401">
        <f t="shared" si="126"/>
        <v>0.25</v>
      </c>
      <c r="AS199" s="402" t="s">
        <v>100</v>
      </c>
      <c r="AT199" s="641">
        <f>1/1</f>
        <v>1</v>
      </c>
      <c r="AU199" s="631"/>
      <c r="AV199" s="746"/>
      <c r="AW199" s="729" t="str">
        <f t="shared" si="113"/>
        <v>ALTO</v>
      </c>
      <c r="AX199" s="397">
        <f t="shared" si="114"/>
        <v>0.25</v>
      </c>
      <c r="AY199" s="399" t="s">
        <v>1536</v>
      </c>
      <c r="AZ199" s="398">
        <f t="shared" si="115"/>
        <v>1.25</v>
      </c>
      <c r="BA199" s="398">
        <f t="shared" si="116"/>
        <v>0.24752475247524752</v>
      </c>
      <c r="BB199" s="398">
        <f t="shared" si="117"/>
        <v>6.7777774999999998E-2</v>
      </c>
      <c r="BC199" s="15"/>
      <c r="BD199" s="14">
        <f t="shared" si="118"/>
        <v>0.25</v>
      </c>
      <c r="BE199" s="650" t="s">
        <v>100</v>
      </c>
      <c r="BF199" s="651">
        <f>1/1</f>
        <v>1</v>
      </c>
      <c r="BG199" s="652"/>
      <c r="BH199" s="653" t="s">
        <v>1537</v>
      </c>
      <c r="BI199" s="658" t="str">
        <f t="shared" si="93"/>
        <v>ALTO</v>
      </c>
      <c r="BJ199" s="681">
        <f t="shared" si="119"/>
        <v>0.25</v>
      </c>
      <c r="BK199" s="647" t="s">
        <v>1538</v>
      </c>
      <c r="BL199" s="682">
        <f t="shared" si="94"/>
        <v>0.05</v>
      </c>
      <c r="BM199" s="682">
        <f t="shared" si="95"/>
        <v>0.2525</v>
      </c>
      <c r="BN199" s="682">
        <f t="shared" si="96"/>
        <v>0.92213118533324534</v>
      </c>
      <c r="BO199" s="658"/>
      <c r="BP199" s="885">
        <f t="shared" si="122"/>
        <v>0.25</v>
      </c>
      <c r="BQ199" s="854" t="s">
        <v>105</v>
      </c>
      <c r="BR199" s="871">
        <f>100/100</f>
        <v>1</v>
      </c>
      <c r="BS199" s="874" t="s">
        <v>1539</v>
      </c>
      <c r="BT199" s="872"/>
      <c r="BU199" s="905" t="str">
        <f t="shared" si="120"/>
        <v>ALTO</v>
      </c>
      <c r="BV199" s="875">
        <f t="shared" si="124"/>
        <v>0.25</v>
      </c>
      <c r="BW199" s="859" t="s">
        <v>1023</v>
      </c>
      <c r="BX199" s="857">
        <f t="shared" si="97"/>
        <v>1.25</v>
      </c>
      <c r="BY199" s="857">
        <f t="shared" si="98"/>
        <v>0.24752475247524752</v>
      </c>
      <c r="BZ199" s="857">
        <f t="shared" si="99"/>
        <v>6.7777774999999998E-2</v>
      </c>
      <c r="CA199" s="857">
        <f t="shared" si="100"/>
        <v>9.4318181818181815E-2</v>
      </c>
      <c r="CB199" s="16">
        <f t="shared" si="101"/>
        <v>0.5</v>
      </c>
      <c r="CC199" s="16">
        <f t="shared" si="102"/>
        <v>0.5</v>
      </c>
      <c r="CD199" s="16">
        <f t="shared" si="123"/>
        <v>1</v>
      </c>
      <c r="CE199" s="16">
        <f t="shared" si="106"/>
        <v>1</v>
      </c>
      <c r="CF199" s="16" t="e">
        <f>SUM(#REF!/(CC199+CB199))</f>
        <v>#REF!</v>
      </c>
      <c r="CG199" s="17"/>
      <c r="CH199" s="17"/>
      <c r="CI199" s="17"/>
      <c r="CJ199" s="17"/>
      <c r="CV199" s="346">
        <f t="shared" si="121"/>
        <v>1</v>
      </c>
    </row>
    <row r="200" spans="1:100" s="1" customFormat="1" ht="65.099999999999994" customHeight="1" x14ac:dyDescent="0.2">
      <c r="A200" s="354" t="s">
        <v>79</v>
      </c>
      <c r="B200" s="354" t="s">
        <v>80</v>
      </c>
      <c r="C200" s="354" t="s">
        <v>81</v>
      </c>
      <c r="D200" s="354" t="s">
        <v>82</v>
      </c>
      <c r="E200" s="354" t="s">
        <v>83</v>
      </c>
      <c r="F200" s="354" t="s">
        <v>84</v>
      </c>
      <c r="G200" s="354" t="s">
        <v>85</v>
      </c>
      <c r="H200" s="354" t="s">
        <v>86</v>
      </c>
      <c r="I200" s="354" t="s">
        <v>87</v>
      </c>
      <c r="J200" s="354" t="s">
        <v>152</v>
      </c>
      <c r="K200" s="348" t="s">
        <v>8</v>
      </c>
      <c r="L200" s="348" t="s">
        <v>539</v>
      </c>
      <c r="M200" s="686" t="s">
        <v>1540</v>
      </c>
      <c r="N200" s="361" t="s">
        <v>541</v>
      </c>
      <c r="O200" s="361" t="s">
        <v>126</v>
      </c>
      <c r="P200" s="922">
        <v>39542136.277533107</v>
      </c>
      <c r="Q200" s="393" t="s">
        <v>543</v>
      </c>
      <c r="R200" s="348" t="s">
        <v>213</v>
      </c>
      <c r="S200" s="348">
        <v>2</v>
      </c>
      <c r="T200" s="348" t="s">
        <v>1541</v>
      </c>
      <c r="U200" s="348" t="s">
        <v>1533</v>
      </c>
      <c r="V200" s="348" t="s">
        <v>98</v>
      </c>
      <c r="W200" s="355" t="s">
        <v>1542</v>
      </c>
      <c r="X200" s="445">
        <v>0.5</v>
      </c>
      <c r="Y200" s="430">
        <v>0</v>
      </c>
      <c r="Z200" s="430">
        <v>0.5</v>
      </c>
      <c r="AA200" s="431">
        <v>0</v>
      </c>
      <c r="AB200" s="525">
        <v>5</v>
      </c>
      <c r="AC200" s="413">
        <v>0.99009900990099009</v>
      </c>
      <c r="AD200" s="413">
        <v>0.27111109999999999</v>
      </c>
      <c r="AE200" s="413">
        <v>0.37727272727272726</v>
      </c>
      <c r="AF200" s="692">
        <f t="shared" si="125"/>
        <v>0.5</v>
      </c>
      <c r="AG200" s="693" t="s">
        <v>100</v>
      </c>
      <c r="AH200" s="720">
        <f>1/1</f>
        <v>1</v>
      </c>
      <c r="AI200" s="713" t="s">
        <v>1543</v>
      </c>
      <c r="AJ200" s="719"/>
      <c r="AK200" s="693" t="str">
        <f>+IF(AND(AH200&gt;=0%,AH200&lt;=60%),"BAJO",IF(AND(AH200&gt;=61%,AH200&lt;=80%),"MEDIO","ALTO"))</f>
        <v>ALTO</v>
      </c>
      <c r="AL200" s="692">
        <f t="shared" si="109"/>
        <v>0.5</v>
      </c>
      <c r="AM200" s="697" t="s">
        <v>102</v>
      </c>
      <c r="AN200" s="693">
        <f t="shared" si="110"/>
        <v>2.5</v>
      </c>
      <c r="AO200" s="693">
        <f t="shared" si="111"/>
        <v>0.49504950495049505</v>
      </c>
      <c r="AP200" s="693">
        <f t="shared" si="112"/>
        <v>0.13555555</v>
      </c>
      <c r="AQ200" s="693"/>
      <c r="AR200" s="401">
        <f t="shared" si="126"/>
        <v>0</v>
      </c>
      <c r="AS200" s="402" t="s">
        <v>146</v>
      </c>
      <c r="AT200" s="641">
        <v>0</v>
      </c>
      <c r="AU200" s="631"/>
      <c r="AV200" s="746"/>
      <c r="AW200" s="729"/>
      <c r="AX200" s="397">
        <f t="shared" si="114"/>
        <v>0</v>
      </c>
      <c r="AY200" s="399" t="s">
        <v>522</v>
      </c>
      <c r="AZ200" s="398">
        <f t="shared" si="115"/>
        <v>0</v>
      </c>
      <c r="BA200" s="398">
        <f t="shared" si="116"/>
        <v>0</v>
      </c>
      <c r="BB200" s="398">
        <f t="shared" si="117"/>
        <v>0</v>
      </c>
      <c r="BC200" s="15"/>
      <c r="BD200" s="14">
        <f t="shared" si="118"/>
        <v>0.5</v>
      </c>
      <c r="BE200" s="650" t="s">
        <v>100</v>
      </c>
      <c r="BF200" s="651">
        <v>0</v>
      </c>
      <c r="BG200" s="652"/>
      <c r="BH200" s="653" t="s">
        <v>1544</v>
      </c>
      <c r="BI200" s="658" t="str">
        <f t="shared" si="93"/>
        <v>BAJO</v>
      </c>
      <c r="BJ200" s="681">
        <f t="shared" si="119"/>
        <v>0</v>
      </c>
      <c r="BK200" s="647" t="s">
        <v>1545</v>
      </c>
      <c r="BL200" s="682">
        <f t="shared" si="94"/>
        <v>0</v>
      </c>
      <c r="BM200" s="682">
        <f t="shared" si="95"/>
        <v>0</v>
      </c>
      <c r="BN200" s="682">
        <f t="shared" si="96"/>
        <v>0</v>
      </c>
      <c r="BO200" s="658"/>
      <c r="BP200" s="885">
        <f t="shared" si="122"/>
        <v>0</v>
      </c>
      <c r="BQ200" s="854" t="s">
        <v>105</v>
      </c>
      <c r="BR200" s="871">
        <v>1</v>
      </c>
      <c r="BS200" s="874" t="s">
        <v>1546</v>
      </c>
      <c r="BT200" s="872"/>
      <c r="BU200" s="905" t="str">
        <f t="shared" si="120"/>
        <v>ALTO</v>
      </c>
      <c r="BV200" s="875">
        <f t="shared" si="124"/>
        <v>0</v>
      </c>
      <c r="BW200" s="859"/>
      <c r="BX200" s="857">
        <f t="shared" si="97"/>
        <v>0</v>
      </c>
      <c r="BY200" s="857">
        <f t="shared" si="98"/>
        <v>0</v>
      </c>
      <c r="BZ200" s="857">
        <f t="shared" si="99"/>
        <v>0</v>
      </c>
      <c r="CA200" s="857">
        <f t="shared" si="100"/>
        <v>0</v>
      </c>
      <c r="CB200" s="16">
        <f t="shared" si="101"/>
        <v>0.5</v>
      </c>
      <c r="CC200" s="16">
        <f t="shared" si="102"/>
        <v>0.5</v>
      </c>
      <c r="CD200" s="16">
        <f t="shared" si="123"/>
        <v>1</v>
      </c>
      <c r="CE200" s="16">
        <f t="shared" si="106"/>
        <v>0.5</v>
      </c>
      <c r="CF200" s="16" t="e">
        <f>SUM(#REF!/(CC200+CB200))</f>
        <v>#REF!</v>
      </c>
      <c r="CG200" s="17"/>
      <c r="CH200" s="17"/>
      <c r="CI200" s="17"/>
      <c r="CJ200" s="17"/>
      <c r="CV200" s="346">
        <f t="shared" si="121"/>
        <v>1</v>
      </c>
    </row>
    <row r="201" spans="1:100" s="1" customFormat="1" ht="65.099999999999994" customHeight="1" x14ac:dyDescent="0.2">
      <c r="A201" s="354" t="s">
        <v>79</v>
      </c>
      <c r="B201" s="354" t="s">
        <v>80</v>
      </c>
      <c r="C201" s="354" t="s">
        <v>81</v>
      </c>
      <c r="D201" s="354" t="s">
        <v>82</v>
      </c>
      <c r="E201" s="354" t="s">
        <v>83</v>
      </c>
      <c r="F201" s="354" t="s">
        <v>84</v>
      </c>
      <c r="G201" s="354" t="s">
        <v>85</v>
      </c>
      <c r="H201" s="354" t="s">
        <v>86</v>
      </c>
      <c r="I201" s="354" t="s">
        <v>87</v>
      </c>
      <c r="J201" s="354" t="s">
        <v>152</v>
      </c>
      <c r="K201" s="348" t="s">
        <v>8</v>
      </c>
      <c r="L201" s="348" t="s">
        <v>539</v>
      </c>
      <c r="M201" s="686" t="s">
        <v>1547</v>
      </c>
      <c r="N201" s="361" t="s">
        <v>541</v>
      </c>
      <c r="O201" s="361" t="s">
        <v>126</v>
      </c>
      <c r="P201" s="922">
        <v>39542136.277533107</v>
      </c>
      <c r="Q201" s="393" t="s">
        <v>543</v>
      </c>
      <c r="R201" s="348" t="s">
        <v>213</v>
      </c>
      <c r="S201" s="348">
        <v>12</v>
      </c>
      <c r="T201" s="348" t="s">
        <v>1548</v>
      </c>
      <c r="U201" s="348" t="s">
        <v>1549</v>
      </c>
      <c r="V201" s="348" t="s">
        <v>98</v>
      </c>
      <c r="W201" s="355" t="s">
        <v>1550</v>
      </c>
      <c r="X201" s="445">
        <v>0.25</v>
      </c>
      <c r="Y201" s="430">
        <v>0.25</v>
      </c>
      <c r="Z201" s="430">
        <v>0.25</v>
      </c>
      <c r="AA201" s="431">
        <v>0.25</v>
      </c>
      <c r="AB201" s="525">
        <v>5</v>
      </c>
      <c r="AC201" s="413">
        <v>0.99009900990099009</v>
      </c>
      <c r="AD201" s="413">
        <v>0.27111109999999999</v>
      </c>
      <c r="AE201" s="413">
        <v>0.37727272727272726</v>
      </c>
      <c r="AF201" s="692">
        <f t="shared" si="125"/>
        <v>0.25</v>
      </c>
      <c r="AG201" s="693" t="s">
        <v>100</v>
      </c>
      <c r="AH201" s="720">
        <f>1/1</f>
        <v>1</v>
      </c>
      <c r="AI201" s="713" t="s">
        <v>1551</v>
      </c>
      <c r="AJ201" s="713" t="s">
        <v>1552</v>
      </c>
      <c r="AK201" s="693" t="str">
        <f>+IF(AND(AH201&gt;=0%,AH201&lt;=60%),"BAJO",IF(AND(AH201&gt;=61%,AH201&lt;=80%),"MEDIO","ALTO"))</f>
        <v>ALTO</v>
      </c>
      <c r="AL201" s="692">
        <f t="shared" si="109"/>
        <v>0.25</v>
      </c>
      <c r="AM201" s="697" t="s">
        <v>102</v>
      </c>
      <c r="AN201" s="693">
        <f t="shared" si="110"/>
        <v>1.25</v>
      </c>
      <c r="AO201" s="693">
        <f t="shared" si="111"/>
        <v>0.24752475247524752</v>
      </c>
      <c r="AP201" s="693">
        <f t="shared" si="112"/>
        <v>6.7777774999999998E-2</v>
      </c>
      <c r="AQ201" s="693"/>
      <c r="AR201" s="401">
        <f t="shared" si="126"/>
        <v>0.25</v>
      </c>
      <c r="AS201" s="402" t="s">
        <v>100</v>
      </c>
      <c r="AT201" s="641">
        <v>0</v>
      </c>
      <c r="AU201" s="631"/>
      <c r="AV201" s="746"/>
      <c r="AW201" s="729" t="str">
        <f t="shared" si="113"/>
        <v>BAJO</v>
      </c>
      <c r="AX201" s="397">
        <f t="shared" si="114"/>
        <v>0</v>
      </c>
      <c r="AY201" s="399" t="s">
        <v>522</v>
      </c>
      <c r="AZ201" s="398">
        <f t="shared" si="115"/>
        <v>0</v>
      </c>
      <c r="BA201" s="398">
        <f t="shared" si="116"/>
        <v>0</v>
      </c>
      <c r="BB201" s="398">
        <f t="shared" si="117"/>
        <v>0</v>
      </c>
      <c r="BC201" s="15"/>
      <c r="BD201" s="14">
        <f t="shared" si="118"/>
        <v>0.25</v>
      </c>
      <c r="BE201" s="654" t="s">
        <v>100</v>
      </c>
      <c r="BF201" s="655">
        <f>1/3</f>
        <v>0.33333333333333331</v>
      </c>
      <c r="BG201" s="656" t="s">
        <v>1553</v>
      </c>
      <c r="BH201" s="657"/>
      <c r="BI201" s="658" t="str">
        <f t="shared" ref="BI201:BI264" si="127">+IF(AND(BF201&gt;=0%,BF201&lt;=60%),"BAJO",IF(AND(BF201&gt;=61%,BF201&lt;=80%),"MEDIO","ALTO"))</f>
        <v>BAJO</v>
      </c>
      <c r="BJ201" s="681">
        <f t="shared" si="119"/>
        <v>8.3333333333333329E-2</v>
      </c>
      <c r="BK201" s="647" t="s">
        <v>1554</v>
      </c>
      <c r="BL201" s="682">
        <f t="shared" ref="BL201:BL264" si="128">BJ201/AB201</f>
        <v>1.6666666666666666E-2</v>
      </c>
      <c r="BM201" s="682">
        <f t="shared" ref="BM201:BM264" si="129">BJ201/AC201</f>
        <v>8.4166666666666667E-2</v>
      </c>
      <c r="BN201" s="682">
        <f t="shared" ref="BN201:BN264" si="130">BJ201/AD201</f>
        <v>0.30737706177774843</v>
      </c>
      <c r="BO201" s="658"/>
      <c r="BP201" s="885">
        <f t="shared" si="122"/>
        <v>0.25</v>
      </c>
      <c r="BQ201" s="854" t="s">
        <v>105</v>
      </c>
      <c r="BR201" s="871">
        <f>30/100</f>
        <v>0.3</v>
      </c>
      <c r="BS201" s="874" t="s">
        <v>1555</v>
      </c>
      <c r="BT201" s="872" t="s">
        <v>1552</v>
      </c>
      <c r="BU201" s="907" t="str">
        <f t="shared" si="120"/>
        <v>BAJO</v>
      </c>
      <c r="BV201" s="875">
        <f t="shared" si="124"/>
        <v>7.4999999999999997E-2</v>
      </c>
      <c r="BW201" s="859" t="s">
        <v>1556</v>
      </c>
      <c r="BX201" s="857">
        <f t="shared" ref="BX201:BX264" si="131">BV201*AB201</f>
        <v>0.375</v>
      </c>
      <c r="BY201" s="857">
        <f t="shared" ref="BY201:BY264" si="132">BV201*AC201</f>
        <v>7.4257425742574254E-2</v>
      </c>
      <c r="BZ201" s="857">
        <f t="shared" ref="BZ201:BZ264" si="133">BV201*AD201</f>
        <v>2.0333332499999999E-2</v>
      </c>
      <c r="CA201" s="857">
        <f t="shared" ref="CA201:CA264" si="134">BV201*AE201</f>
        <v>2.8295454545454544E-2</v>
      </c>
      <c r="CB201" s="16">
        <f t="shared" ref="CB201:CB264" si="135">SUM(BD201+BP201)</f>
        <v>0.5</v>
      </c>
      <c r="CC201" s="16">
        <f t="shared" ref="CC201:CC264" si="136">AF201+AR201</f>
        <v>0.5</v>
      </c>
      <c r="CD201" s="16">
        <f t="shared" si="123"/>
        <v>1</v>
      </c>
      <c r="CE201" s="16">
        <f t="shared" si="106"/>
        <v>0.40833333333333333</v>
      </c>
      <c r="CF201" s="16" t="e">
        <f>SUM(#REF!/(CC201+CB201))</f>
        <v>#REF!</v>
      </c>
      <c r="CG201" s="17"/>
      <c r="CH201" s="17"/>
      <c r="CI201" s="17"/>
      <c r="CJ201" s="17"/>
      <c r="CV201" s="346">
        <f t="shared" ref="CV201:CV232" si="137">SUM(X201:AA201)</f>
        <v>1</v>
      </c>
    </row>
    <row r="202" spans="1:100" s="3" customFormat="1" ht="65.099999999999994" customHeight="1" x14ac:dyDescent="0.25">
      <c r="A202" s="354" t="s">
        <v>79</v>
      </c>
      <c r="B202" s="354" t="s">
        <v>80</v>
      </c>
      <c r="C202" s="354" t="s">
        <v>81</v>
      </c>
      <c r="D202" s="354" t="s">
        <v>82</v>
      </c>
      <c r="E202" s="354" t="s">
        <v>83</v>
      </c>
      <c r="F202" s="354" t="s">
        <v>84</v>
      </c>
      <c r="G202" s="354" t="s">
        <v>85</v>
      </c>
      <c r="H202" s="354" t="s">
        <v>86</v>
      </c>
      <c r="I202" s="354" t="s">
        <v>87</v>
      </c>
      <c r="J202" s="354" t="s">
        <v>152</v>
      </c>
      <c r="K202" s="348" t="s">
        <v>8</v>
      </c>
      <c r="L202" s="348" t="s">
        <v>539</v>
      </c>
      <c r="M202" s="686" t="s">
        <v>1557</v>
      </c>
      <c r="N202" s="361" t="s">
        <v>541</v>
      </c>
      <c r="O202" s="361" t="s">
        <v>126</v>
      </c>
      <c r="P202" s="922">
        <v>39542136.277533107</v>
      </c>
      <c r="Q202" s="393" t="s">
        <v>543</v>
      </c>
      <c r="R202" s="348" t="s">
        <v>213</v>
      </c>
      <c r="S202" s="348">
        <v>12</v>
      </c>
      <c r="T202" s="348" t="s">
        <v>1558</v>
      </c>
      <c r="U202" s="348" t="s">
        <v>1559</v>
      </c>
      <c r="V202" s="348" t="s">
        <v>98</v>
      </c>
      <c r="W202" s="355" t="s">
        <v>1560</v>
      </c>
      <c r="X202" s="445">
        <v>0</v>
      </c>
      <c r="Y202" s="430">
        <v>0</v>
      </c>
      <c r="Z202" s="430">
        <v>0.75</v>
      </c>
      <c r="AA202" s="431">
        <v>0.25</v>
      </c>
      <c r="AB202" s="525">
        <v>5</v>
      </c>
      <c r="AC202" s="413">
        <v>0.99009900990099009</v>
      </c>
      <c r="AD202" s="413">
        <v>0.27111109999999999</v>
      </c>
      <c r="AE202" s="413">
        <v>0.37727272727272726</v>
      </c>
      <c r="AF202" s="692">
        <f t="shared" si="125"/>
        <v>0</v>
      </c>
      <c r="AG202" s="693" t="s">
        <v>100</v>
      </c>
      <c r="AH202" s="718">
        <v>0</v>
      </c>
      <c r="AI202" s="713"/>
      <c r="AJ202" s="717"/>
      <c r="AK202" s="693" t="str">
        <f>+IF(AND(AH202&gt;=0%,AH202&lt;=60%),"BAJO",IF(AND(AH202&gt;=61%,AH202&lt;=80%),"MEDIO","ALTO"))</f>
        <v>BAJO</v>
      </c>
      <c r="AL202" s="692">
        <f t="shared" si="109"/>
        <v>0</v>
      </c>
      <c r="AM202" s="695" t="s">
        <v>522</v>
      </c>
      <c r="AN202" s="693">
        <f t="shared" si="110"/>
        <v>0</v>
      </c>
      <c r="AO202" s="693">
        <f t="shared" si="111"/>
        <v>0</v>
      </c>
      <c r="AP202" s="693">
        <f t="shared" si="112"/>
        <v>0</v>
      </c>
      <c r="AQ202" s="696"/>
      <c r="AR202" s="401">
        <f t="shared" si="126"/>
        <v>0</v>
      </c>
      <c r="AS202" s="402" t="s">
        <v>100</v>
      </c>
      <c r="AT202" s="641">
        <v>0</v>
      </c>
      <c r="AU202" s="631"/>
      <c r="AV202" s="743"/>
      <c r="AW202" s="729" t="str">
        <f t="shared" si="113"/>
        <v>BAJO</v>
      </c>
      <c r="AX202" s="397">
        <f t="shared" si="114"/>
        <v>0</v>
      </c>
      <c r="AY202" s="400" t="s">
        <v>1561</v>
      </c>
      <c r="AZ202" s="398">
        <f t="shared" si="115"/>
        <v>0</v>
      </c>
      <c r="BA202" s="398">
        <f t="shared" si="116"/>
        <v>0</v>
      </c>
      <c r="BB202" s="398">
        <f t="shared" si="117"/>
        <v>0</v>
      </c>
      <c r="BC202" s="18"/>
      <c r="BD202" s="14">
        <f t="shared" si="118"/>
        <v>0.75</v>
      </c>
      <c r="BE202" s="650" t="s">
        <v>100</v>
      </c>
      <c r="BF202" s="651">
        <f>9/9</f>
        <v>1</v>
      </c>
      <c r="BG202" s="781" t="s">
        <v>1562</v>
      </c>
      <c r="BH202" s="781" t="s">
        <v>1563</v>
      </c>
      <c r="BI202" s="658" t="str">
        <f t="shared" si="127"/>
        <v>ALTO</v>
      </c>
      <c r="BJ202" s="681">
        <f t="shared" si="119"/>
        <v>0.75</v>
      </c>
      <c r="BK202" s="680" t="s">
        <v>1564</v>
      </c>
      <c r="BL202" s="682">
        <f t="shared" si="128"/>
        <v>0.15</v>
      </c>
      <c r="BM202" s="682">
        <f t="shared" si="129"/>
        <v>0.75750000000000006</v>
      </c>
      <c r="BN202" s="682">
        <f t="shared" si="130"/>
        <v>2.7663935559997359</v>
      </c>
      <c r="BO202" s="754"/>
      <c r="BP202" s="885">
        <f t="shared" si="122"/>
        <v>0.25</v>
      </c>
      <c r="BQ202" s="854" t="s">
        <v>105</v>
      </c>
      <c r="BR202" s="871">
        <f>100/100</f>
        <v>1</v>
      </c>
      <c r="BS202" s="859" t="s">
        <v>1562</v>
      </c>
      <c r="BT202" s="872"/>
      <c r="BU202" s="905" t="str">
        <f t="shared" si="120"/>
        <v>ALTO</v>
      </c>
      <c r="BV202" s="875">
        <f t="shared" si="124"/>
        <v>0.25</v>
      </c>
      <c r="BW202" s="859" t="s">
        <v>1023</v>
      </c>
      <c r="BX202" s="857">
        <f t="shared" si="131"/>
        <v>1.25</v>
      </c>
      <c r="BY202" s="857">
        <f t="shared" si="132"/>
        <v>0.24752475247524752</v>
      </c>
      <c r="BZ202" s="857">
        <f t="shared" si="133"/>
        <v>6.7777774999999998E-2</v>
      </c>
      <c r="CA202" s="857">
        <f t="shared" si="134"/>
        <v>9.4318181818181815E-2</v>
      </c>
      <c r="CB202" s="16">
        <f t="shared" si="135"/>
        <v>1</v>
      </c>
      <c r="CC202" s="16">
        <f t="shared" si="136"/>
        <v>0</v>
      </c>
      <c r="CD202" s="16">
        <f t="shared" si="123"/>
        <v>1</v>
      </c>
      <c r="CE202" s="16">
        <f t="shared" si="106"/>
        <v>1</v>
      </c>
      <c r="CF202" s="16" t="e">
        <f>SUM(#REF!/(CC202+CB202))</f>
        <v>#REF!</v>
      </c>
      <c r="CG202" s="19"/>
      <c r="CH202" s="19"/>
      <c r="CI202" s="19"/>
      <c r="CJ202" s="19"/>
      <c r="CV202" s="346">
        <f t="shared" si="137"/>
        <v>1</v>
      </c>
    </row>
    <row r="203" spans="1:100" s="1" customFormat="1" ht="65.099999999999994" customHeight="1" x14ac:dyDescent="0.2">
      <c r="A203" s="354" t="s">
        <v>79</v>
      </c>
      <c r="B203" s="354" t="s">
        <v>80</v>
      </c>
      <c r="C203" s="354" t="s">
        <v>81</v>
      </c>
      <c r="D203" s="354" t="s">
        <v>82</v>
      </c>
      <c r="E203" s="354" t="s">
        <v>83</v>
      </c>
      <c r="F203" s="354" t="s">
        <v>84</v>
      </c>
      <c r="G203" s="354" t="s">
        <v>85</v>
      </c>
      <c r="H203" s="354" t="s">
        <v>86</v>
      </c>
      <c r="I203" s="354" t="s">
        <v>87</v>
      </c>
      <c r="J203" s="354" t="s">
        <v>88</v>
      </c>
      <c r="K203" s="348" t="s">
        <v>8</v>
      </c>
      <c r="L203" s="348" t="s">
        <v>539</v>
      </c>
      <c r="M203" s="686" t="s">
        <v>1565</v>
      </c>
      <c r="N203" s="361" t="s">
        <v>541</v>
      </c>
      <c r="O203" s="361" t="s">
        <v>126</v>
      </c>
      <c r="P203" s="922">
        <v>39542136.277533107</v>
      </c>
      <c r="Q203" s="393" t="s">
        <v>543</v>
      </c>
      <c r="R203" s="348" t="s">
        <v>213</v>
      </c>
      <c r="S203" s="348">
        <v>1</v>
      </c>
      <c r="T203" s="348" t="s">
        <v>1566</v>
      </c>
      <c r="U203" s="348" t="s">
        <v>1567</v>
      </c>
      <c r="V203" s="348" t="s">
        <v>98</v>
      </c>
      <c r="W203" s="355" t="s">
        <v>1568</v>
      </c>
      <c r="X203" s="445">
        <f>P203</f>
        <v>39542136.277533107</v>
      </c>
      <c r="Y203" s="430"/>
      <c r="Z203" s="430">
        <v>1</v>
      </c>
      <c r="AA203" s="431">
        <v>0</v>
      </c>
      <c r="AB203" s="525">
        <v>5</v>
      </c>
      <c r="AC203" s="413">
        <v>0.99009900990099009</v>
      </c>
      <c r="AD203" s="413">
        <v>0.27111109999999999</v>
      </c>
      <c r="AE203" s="413">
        <v>0.37727272727272726</v>
      </c>
      <c r="AF203" s="692">
        <f t="shared" si="125"/>
        <v>39542136.277533107</v>
      </c>
      <c r="AG203" s="693" t="s">
        <v>146</v>
      </c>
      <c r="AH203" s="718">
        <v>0</v>
      </c>
      <c r="AI203" s="719"/>
      <c r="AJ203" s="719"/>
      <c r="AK203" s="693"/>
      <c r="AL203" s="692">
        <f t="shared" si="109"/>
        <v>0</v>
      </c>
      <c r="AM203" s="697" t="s">
        <v>121</v>
      </c>
      <c r="AN203" s="693">
        <f t="shared" si="110"/>
        <v>0</v>
      </c>
      <c r="AO203" s="693">
        <f t="shared" si="111"/>
        <v>0</v>
      </c>
      <c r="AP203" s="693">
        <f t="shared" si="112"/>
        <v>0</v>
      </c>
      <c r="AQ203" s="693"/>
      <c r="AR203" s="401">
        <f t="shared" si="126"/>
        <v>0</v>
      </c>
      <c r="AS203" s="402" t="s">
        <v>146</v>
      </c>
      <c r="AT203" s="643">
        <v>0</v>
      </c>
      <c r="AU203" s="747" t="s">
        <v>1569</v>
      </c>
      <c r="AV203" s="747"/>
      <c r="AW203" s="729" t="str">
        <f t="shared" si="113"/>
        <v>BAJO</v>
      </c>
      <c r="AX203" s="397">
        <f t="shared" si="114"/>
        <v>0</v>
      </c>
      <c r="AY203" s="399" t="s">
        <v>522</v>
      </c>
      <c r="AZ203" s="398">
        <f t="shared" si="115"/>
        <v>0</v>
      </c>
      <c r="BA203" s="398">
        <f t="shared" si="116"/>
        <v>0</v>
      </c>
      <c r="BB203" s="398">
        <f t="shared" si="117"/>
        <v>0</v>
      </c>
      <c r="BC203" s="15"/>
      <c r="BD203" s="14">
        <f t="shared" si="118"/>
        <v>1</v>
      </c>
      <c r="BE203" s="650" t="s">
        <v>100</v>
      </c>
      <c r="BF203" s="651">
        <f>1/1</f>
        <v>1</v>
      </c>
      <c r="BG203" s="782" t="s">
        <v>1570</v>
      </c>
      <c r="BH203" s="782" t="s">
        <v>1571</v>
      </c>
      <c r="BI203" s="658" t="str">
        <f t="shared" si="127"/>
        <v>ALTO</v>
      </c>
      <c r="BJ203" s="681">
        <f t="shared" si="119"/>
        <v>1</v>
      </c>
      <c r="BK203" s="647" t="s">
        <v>1572</v>
      </c>
      <c r="BL203" s="682">
        <f t="shared" si="128"/>
        <v>0.2</v>
      </c>
      <c r="BM203" s="682">
        <f t="shared" si="129"/>
        <v>1.01</v>
      </c>
      <c r="BN203" s="682">
        <f t="shared" si="130"/>
        <v>3.6885247413329814</v>
      </c>
      <c r="BO203" s="658"/>
      <c r="BP203" s="885">
        <f t="shared" si="122"/>
        <v>0</v>
      </c>
      <c r="BQ203" s="854" t="s">
        <v>105</v>
      </c>
      <c r="BR203" s="871">
        <v>1</v>
      </c>
      <c r="BS203" s="874" t="s">
        <v>1570</v>
      </c>
      <c r="BT203" s="872"/>
      <c r="BU203" s="905" t="str">
        <f t="shared" si="120"/>
        <v>ALTO</v>
      </c>
      <c r="BV203" s="875">
        <f t="shared" si="124"/>
        <v>0</v>
      </c>
      <c r="BW203" s="859"/>
      <c r="BX203" s="857">
        <f t="shared" si="131"/>
        <v>0</v>
      </c>
      <c r="BY203" s="857">
        <f t="shared" si="132"/>
        <v>0</v>
      </c>
      <c r="BZ203" s="857">
        <f t="shared" si="133"/>
        <v>0</v>
      </c>
      <c r="CA203" s="857">
        <f t="shared" si="134"/>
        <v>0</v>
      </c>
      <c r="CB203" s="16">
        <f t="shared" si="135"/>
        <v>1</v>
      </c>
      <c r="CC203" s="16">
        <f t="shared" si="136"/>
        <v>39542136.277533107</v>
      </c>
      <c r="CD203" s="16">
        <f t="shared" si="123"/>
        <v>39542137.277533107</v>
      </c>
      <c r="CE203" s="16">
        <f t="shared" si="106"/>
        <v>1</v>
      </c>
      <c r="CF203" s="16" t="e">
        <f>SUM(#REF!/(CC203+CB203))</f>
        <v>#REF!</v>
      </c>
      <c r="CG203" s="17"/>
      <c r="CH203" s="17"/>
      <c r="CI203" s="17"/>
      <c r="CJ203" s="17"/>
      <c r="CV203" s="346">
        <f t="shared" si="137"/>
        <v>39542137.277533107</v>
      </c>
    </row>
    <row r="204" spans="1:100" s="1" customFormat="1" ht="65.099999999999994" customHeight="1" x14ac:dyDescent="0.25">
      <c r="A204" s="354" t="s">
        <v>79</v>
      </c>
      <c r="B204" s="354" t="s">
        <v>80</v>
      </c>
      <c r="C204" s="354" t="s">
        <v>81</v>
      </c>
      <c r="D204" s="354" t="s">
        <v>82</v>
      </c>
      <c r="E204" s="354" t="s">
        <v>83</v>
      </c>
      <c r="F204" s="354" t="s">
        <v>84</v>
      </c>
      <c r="G204" s="354" t="s">
        <v>85</v>
      </c>
      <c r="H204" s="354" t="s">
        <v>86</v>
      </c>
      <c r="I204" s="354" t="s">
        <v>87</v>
      </c>
      <c r="J204" s="354" t="s">
        <v>88</v>
      </c>
      <c r="K204" s="348" t="s">
        <v>8</v>
      </c>
      <c r="L204" s="348" t="s">
        <v>539</v>
      </c>
      <c r="M204" s="686" t="s">
        <v>1573</v>
      </c>
      <c r="N204" s="361" t="s">
        <v>541</v>
      </c>
      <c r="O204" s="361" t="s">
        <v>126</v>
      </c>
      <c r="P204" s="922">
        <v>39542136.277533107</v>
      </c>
      <c r="Q204" s="393" t="s">
        <v>543</v>
      </c>
      <c r="R204" s="348" t="s">
        <v>213</v>
      </c>
      <c r="S204" s="348">
        <v>1</v>
      </c>
      <c r="T204" s="348" t="s">
        <v>1574</v>
      </c>
      <c r="U204" s="348" t="s">
        <v>1575</v>
      </c>
      <c r="V204" s="348" t="s">
        <v>119</v>
      </c>
      <c r="W204" s="355" t="s">
        <v>1576</v>
      </c>
      <c r="X204" s="445">
        <f>P204</f>
        <v>39542136.277533107</v>
      </c>
      <c r="Y204" s="430">
        <v>0</v>
      </c>
      <c r="Z204" s="430">
        <v>0</v>
      </c>
      <c r="AA204" s="431">
        <v>1</v>
      </c>
      <c r="AB204" s="525">
        <v>5</v>
      </c>
      <c r="AC204" s="413">
        <v>0.99009900990099009</v>
      </c>
      <c r="AD204" s="413">
        <v>0.27111109999999999</v>
      </c>
      <c r="AE204" s="413">
        <v>0.37727272727272726</v>
      </c>
      <c r="AF204" s="692">
        <f t="shared" si="125"/>
        <v>39542136.277533107</v>
      </c>
      <c r="AG204" s="693" t="s">
        <v>146</v>
      </c>
      <c r="AH204" s="718">
        <v>0</v>
      </c>
      <c r="AI204" s="721"/>
      <c r="AJ204" s="721"/>
      <c r="AK204" s="693"/>
      <c r="AL204" s="692">
        <f t="shared" si="109"/>
        <v>0</v>
      </c>
      <c r="AM204" s="697" t="s">
        <v>121</v>
      </c>
      <c r="AN204" s="693">
        <f t="shared" si="110"/>
        <v>0</v>
      </c>
      <c r="AO204" s="693">
        <f t="shared" si="111"/>
        <v>0</v>
      </c>
      <c r="AP204" s="693">
        <f t="shared" si="112"/>
        <v>0</v>
      </c>
      <c r="AQ204" s="693"/>
      <c r="AR204" s="401">
        <f t="shared" si="126"/>
        <v>0</v>
      </c>
      <c r="AS204" s="402" t="s">
        <v>100</v>
      </c>
      <c r="AT204" s="643">
        <v>0</v>
      </c>
      <c r="AU204" s="747" t="s">
        <v>1577</v>
      </c>
      <c r="AV204" s="747"/>
      <c r="AW204" s="729" t="str">
        <f t="shared" si="113"/>
        <v>BAJO</v>
      </c>
      <c r="AX204" s="397">
        <f t="shared" si="114"/>
        <v>0</v>
      </c>
      <c r="AY204" s="399" t="s">
        <v>522</v>
      </c>
      <c r="AZ204" s="398">
        <f t="shared" si="115"/>
        <v>0</v>
      </c>
      <c r="BA204" s="398">
        <f t="shared" si="116"/>
        <v>0</v>
      </c>
      <c r="BB204" s="398">
        <f t="shared" si="117"/>
        <v>0</v>
      </c>
      <c r="BC204" s="15"/>
      <c r="BD204" s="14">
        <f t="shared" si="118"/>
        <v>0</v>
      </c>
      <c r="BE204" s="650" t="s">
        <v>100</v>
      </c>
      <c r="BF204" s="651">
        <v>1</v>
      </c>
      <c r="BG204" s="782" t="s">
        <v>1578</v>
      </c>
      <c r="BH204" s="782" t="s">
        <v>1579</v>
      </c>
      <c r="BI204" s="658" t="str">
        <f t="shared" si="127"/>
        <v>ALTO</v>
      </c>
      <c r="BJ204" s="681">
        <f t="shared" si="119"/>
        <v>0</v>
      </c>
      <c r="BK204" s="647" t="s">
        <v>1572</v>
      </c>
      <c r="BL204" s="682">
        <f t="shared" si="128"/>
        <v>0</v>
      </c>
      <c r="BM204" s="682">
        <f t="shared" si="129"/>
        <v>0</v>
      </c>
      <c r="BN204" s="682">
        <f t="shared" si="130"/>
        <v>0</v>
      </c>
      <c r="BO204" s="658"/>
      <c r="BP204" s="885">
        <f t="shared" ref="BP204:BP235" si="138">AA204</f>
        <v>1</v>
      </c>
      <c r="BQ204" s="854" t="s">
        <v>105</v>
      </c>
      <c r="BR204" s="871">
        <f>100/100</f>
        <v>1</v>
      </c>
      <c r="BS204" s="874" t="s">
        <v>1578</v>
      </c>
      <c r="BT204" s="872" t="s">
        <v>1579</v>
      </c>
      <c r="BU204" s="905" t="str">
        <f t="shared" si="120"/>
        <v>ALTO</v>
      </c>
      <c r="BV204" s="875">
        <f t="shared" si="124"/>
        <v>1</v>
      </c>
      <c r="BW204" s="859" t="s">
        <v>1023</v>
      </c>
      <c r="BX204" s="857">
        <f t="shared" si="131"/>
        <v>5</v>
      </c>
      <c r="BY204" s="857">
        <f t="shared" si="132"/>
        <v>0.99009900990099009</v>
      </c>
      <c r="BZ204" s="857">
        <f t="shared" si="133"/>
        <v>0.27111109999999999</v>
      </c>
      <c r="CA204" s="857">
        <f t="shared" si="134"/>
        <v>0.37727272727272726</v>
      </c>
      <c r="CB204" s="16">
        <f t="shared" si="135"/>
        <v>1</v>
      </c>
      <c r="CC204" s="16">
        <f t="shared" si="136"/>
        <v>39542136.277533107</v>
      </c>
      <c r="CD204" s="16">
        <f t="shared" si="123"/>
        <v>39542137.277533107</v>
      </c>
      <c r="CE204" s="16">
        <f t="shared" si="106"/>
        <v>1</v>
      </c>
      <c r="CF204" s="16" t="e">
        <f>SUM(#REF!/(CC204+CB204))</f>
        <v>#REF!</v>
      </c>
      <c r="CG204" s="17"/>
      <c r="CH204" s="17"/>
      <c r="CI204" s="17"/>
      <c r="CJ204" s="17"/>
      <c r="CV204" s="346">
        <f t="shared" si="137"/>
        <v>39542137.277533107</v>
      </c>
    </row>
    <row r="205" spans="1:100" s="1" customFormat="1" ht="65.099999999999994" customHeight="1" x14ac:dyDescent="0.25">
      <c r="A205" s="354" t="s">
        <v>79</v>
      </c>
      <c r="B205" s="354" t="s">
        <v>80</v>
      </c>
      <c r="C205" s="354" t="s">
        <v>81</v>
      </c>
      <c r="D205" s="354" t="s">
        <v>82</v>
      </c>
      <c r="E205" s="354" t="s">
        <v>83</v>
      </c>
      <c r="F205" s="354" t="s">
        <v>84</v>
      </c>
      <c r="G205" s="354" t="s">
        <v>85</v>
      </c>
      <c r="H205" s="354" t="s">
        <v>86</v>
      </c>
      <c r="I205" s="354" t="s">
        <v>87</v>
      </c>
      <c r="J205" s="354" t="s">
        <v>88</v>
      </c>
      <c r="K205" s="348" t="s">
        <v>8</v>
      </c>
      <c r="L205" s="348" t="s">
        <v>539</v>
      </c>
      <c r="M205" s="686" t="s">
        <v>1580</v>
      </c>
      <c r="N205" s="361" t="s">
        <v>541</v>
      </c>
      <c r="O205" s="361" t="s">
        <v>126</v>
      </c>
      <c r="P205" s="922">
        <v>39542136.277533107</v>
      </c>
      <c r="Q205" s="393" t="s">
        <v>543</v>
      </c>
      <c r="R205" s="348" t="s">
        <v>213</v>
      </c>
      <c r="S205" s="359">
        <v>8</v>
      </c>
      <c r="T205" s="348" t="s">
        <v>1581</v>
      </c>
      <c r="U205" s="348" t="s">
        <v>1582</v>
      </c>
      <c r="V205" s="348" t="s">
        <v>98</v>
      </c>
      <c r="W205" s="355" t="s">
        <v>1583</v>
      </c>
      <c r="X205" s="445">
        <f>P205</f>
        <v>39542136.277533107</v>
      </c>
      <c r="Y205" s="430">
        <f>2/8</f>
        <v>0.25</v>
      </c>
      <c r="Z205" s="430">
        <f>3/8</f>
        <v>0.375</v>
      </c>
      <c r="AA205" s="431">
        <f>3/8</f>
        <v>0.375</v>
      </c>
      <c r="AB205" s="525">
        <v>5</v>
      </c>
      <c r="AC205" s="413">
        <v>0.99009900990099009</v>
      </c>
      <c r="AD205" s="413">
        <v>0.27111109999999999</v>
      </c>
      <c r="AE205" s="413">
        <v>0.37727272727272726</v>
      </c>
      <c r="AF205" s="692">
        <f t="shared" si="125"/>
        <v>39542136.277533107</v>
      </c>
      <c r="AG205" s="693" t="s">
        <v>146</v>
      </c>
      <c r="AH205" s="718">
        <v>0</v>
      </c>
      <c r="AI205" s="721"/>
      <c r="AJ205" s="721"/>
      <c r="AK205" s="693"/>
      <c r="AL205" s="692">
        <f t="shared" si="109"/>
        <v>0</v>
      </c>
      <c r="AM205" s="697" t="s">
        <v>121</v>
      </c>
      <c r="AN205" s="693">
        <f t="shared" si="110"/>
        <v>0</v>
      </c>
      <c r="AO205" s="693">
        <f t="shared" si="111"/>
        <v>0</v>
      </c>
      <c r="AP205" s="693">
        <f t="shared" si="112"/>
        <v>0</v>
      </c>
      <c r="AQ205" s="693"/>
      <c r="AR205" s="401">
        <f t="shared" si="126"/>
        <v>0.25</v>
      </c>
      <c r="AS205" s="402" t="s">
        <v>100</v>
      </c>
      <c r="AT205" s="643">
        <v>0</v>
      </c>
      <c r="AU205" s="748"/>
      <c r="AV205" s="748"/>
      <c r="AW205" s="729" t="str">
        <f t="shared" si="113"/>
        <v>BAJO</v>
      </c>
      <c r="AX205" s="397">
        <f t="shared" si="114"/>
        <v>0</v>
      </c>
      <c r="AY205" s="399" t="s">
        <v>1584</v>
      </c>
      <c r="AZ205" s="398">
        <f t="shared" si="115"/>
        <v>0</v>
      </c>
      <c r="BA205" s="398">
        <f t="shared" si="116"/>
        <v>0</v>
      </c>
      <c r="BB205" s="398">
        <f t="shared" si="117"/>
        <v>0</v>
      </c>
      <c r="BC205" s="15"/>
      <c r="BD205" s="14">
        <f t="shared" si="118"/>
        <v>0.375</v>
      </c>
      <c r="BE205" s="650" t="s">
        <v>100</v>
      </c>
      <c r="BF205" s="651">
        <f>1/3</f>
        <v>0.33333333333333331</v>
      </c>
      <c r="BG205" s="782" t="s">
        <v>1585</v>
      </c>
      <c r="BH205" s="780"/>
      <c r="BI205" s="658" t="str">
        <f t="shared" si="127"/>
        <v>BAJO</v>
      </c>
      <c r="BJ205" s="681">
        <f t="shared" si="119"/>
        <v>0.125</v>
      </c>
      <c r="BK205" s="647" t="s">
        <v>1586</v>
      </c>
      <c r="BL205" s="682">
        <f t="shared" si="128"/>
        <v>2.5000000000000001E-2</v>
      </c>
      <c r="BM205" s="682">
        <f t="shared" si="129"/>
        <v>0.12625</v>
      </c>
      <c r="BN205" s="682">
        <f t="shared" si="130"/>
        <v>0.46106559266662267</v>
      </c>
      <c r="BO205" s="658"/>
      <c r="BP205" s="885">
        <f t="shared" si="138"/>
        <v>0.375</v>
      </c>
      <c r="BQ205" s="854" t="s">
        <v>105</v>
      </c>
      <c r="BR205" s="871">
        <f>0/100</f>
        <v>0</v>
      </c>
      <c r="BS205" s="874"/>
      <c r="BT205" s="872" t="s">
        <v>1587</v>
      </c>
      <c r="BU205" s="907" t="str">
        <f t="shared" si="120"/>
        <v>BAJO</v>
      </c>
      <c r="BV205" s="875">
        <f t="shared" si="124"/>
        <v>0</v>
      </c>
      <c r="BW205" s="859" t="s">
        <v>1588</v>
      </c>
      <c r="BX205" s="857">
        <f t="shared" si="131"/>
        <v>0</v>
      </c>
      <c r="BY205" s="857">
        <f t="shared" si="132"/>
        <v>0</v>
      </c>
      <c r="BZ205" s="857">
        <f t="shared" si="133"/>
        <v>0</v>
      </c>
      <c r="CA205" s="857">
        <f t="shared" si="134"/>
        <v>0</v>
      </c>
      <c r="CB205" s="16">
        <f t="shared" si="135"/>
        <v>0.75</v>
      </c>
      <c r="CC205" s="16">
        <f t="shared" si="136"/>
        <v>39542136.527533107</v>
      </c>
      <c r="CD205" s="16">
        <f t="shared" si="123"/>
        <v>39542137.277533107</v>
      </c>
      <c r="CE205" s="16">
        <f t="shared" si="106"/>
        <v>0.125</v>
      </c>
      <c r="CF205" s="16" t="e">
        <f>SUM(#REF!/(CC205+CB205))</f>
        <v>#REF!</v>
      </c>
      <c r="CG205" s="17"/>
      <c r="CH205" s="17"/>
      <c r="CI205" s="17"/>
      <c r="CJ205" s="17"/>
      <c r="CV205" s="346">
        <f t="shared" si="137"/>
        <v>39542137.277533107</v>
      </c>
    </row>
    <row r="206" spans="1:100" s="1" customFormat="1" ht="65.099999999999994" customHeight="1" x14ac:dyDescent="0.25">
      <c r="A206" s="354" t="s">
        <v>79</v>
      </c>
      <c r="B206" s="354" t="s">
        <v>80</v>
      </c>
      <c r="C206" s="354" t="s">
        <v>81</v>
      </c>
      <c r="D206" s="354" t="s">
        <v>82</v>
      </c>
      <c r="E206" s="354" t="s">
        <v>83</v>
      </c>
      <c r="F206" s="354" t="s">
        <v>84</v>
      </c>
      <c r="G206" s="354" t="s">
        <v>85</v>
      </c>
      <c r="H206" s="354" t="s">
        <v>86</v>
      </c>
      <c r="I206" s="354" t="s">
        <v>87</v>
      </c>
      <c r="J206" s="354" t="s">
        <v>88</v>
      </c>
      <c r="K206" s="348" t="s">
        <v>8</v>
      </c>
      <c r="L206" s="348" t="s">
        <v>539</v>
      </c>
      <c r="M206" s="686" t="s">
        <v>1589</v>
      </c>
      <c r="N206" s="361" t="s">
        <v>541</v>
      </c>
      <c r="O206" s="361" t="s">
        <v>126</v>
      </c>
      <c r="P206" s="922">
        <v>39542136.277533107</v>
      </c>
      <c r="Q206" s="393" t="s">
        <v>543</v>
      </c>
      <c r="R206" s="348" t="s">
        <v>213</v>
      </c>
      <c r="S206" s="360">
        <v>3</v>
      </c>
      <c r="T206" s="348" t="s">
        <v>1590</v>
      </c>
      <c r="U206" s="348" t="s">
        <v>1591</v>
      </c>
      <c r="V206" s="348" t="s">
        <v>98</v>
      </c>
      <c r="W206" s="355" t="s">
        <v>1592</v>
      </c>
      <c r="X206" s="445">
        <f>P206</f>
        <v>39542136.277533107</v>
      </c>
      <c r="Y206" s="430"/>
      <c r="Z206" s="430">
        <v>0.67</v>
      </c>
      <c r="AA206" s="431">
        <f>1/3</f>
        <v>0.33333333333333331</v>
      </c>
      <c r="AB206" s="525">
        <v>5</v>
      </c>
      <c r="AC206" s="413">
        <v>0.99009900990099009</v>
      </c>
      <c r="AD206" s="413">
        <v>0.27111109999999999</v>
      </c>
      <c r="AE206" s="413">
        <v>0.37727272727272726</v>
      </c>
      <c r="AF206" s="692">
        <f t="shared" si="125"/>
        <v>39542136.277533107</v>
      </c>
      <c r="AG206" s="693" t="s">
        <v>146</v>
      </c>
      <c r="AH206" s="718">
        <v>0</v>
      </c>
      <c r="AI206" s="722"/>
      <c r="AJ206" s="722"/>
      <c r="AK206" s="693"/>
      <c r="AL206" s="692">
        <f t="shared" si="109"/>
        <v>0</v>
      </c>
      <c r="AM206" s="697" t="s">
        <v>121</v>
      </c>
      <c r="AN206" s="693">
        <f t="shared" si="110"/>
        <v>0</v>
      </c>
      <c r="AO206" s="693">
        <f t="shared" si="111"/>
        <v>0</v>
      </c>
      <c r="AP206" s="693">
        <f t="shared" si="112"/>
        <v>0</v>
      </c>
      <c r="AQ206" s="693"/>
      <c r="AR206" s="401">
        <f t="shared" si="126"/>
        <v>0</v>
      </c>
      <c r="AS206" s="402" t="s">
        <v>100</v>
      </c>
      <c r="AT206" s="641">
        <f>1/1</f>
        <v>1</v>
      </c>
      <c r="AU206" s="747" t="s">
        <v>1593</v>
      </c>
      <c r="AV206" s="747"/>
      <c r="AW206" s="729" t="str">
        <f t="shared" si="113"/>
        <v>ALTO</v>
      </c>
      <c r="AX206" s="397">
        <f t="shared" si="114"/>
        <v>0</v>
      </c>
      <c r="AY206" s="399" t="s">
        <v>102</v>
      </c>
      <c r="AZ206" s="398">
        <f t="shared" si="115"/>
        <v>0</v>
      </c>
      <c r="BA206" s="398">
        <f t="shared" si="116"/>
        <v>0</v>
      </c>
      <c r="BB206" s="398">
        <f t="shared" si="117"/>
        <v>0</v>
      </c>
      <c r="BC206" s="15"/>
      <c r="BD206" s="14">
        <f t="shared" si="118"/>
        <v>0.67</v>
      </c>
      <c r="BE206" s="654" t="s">
        <v>100</v>
      </c>
      <c r="BF206" s="783">
        <f>2/2</f>
        <v>1</v>
      </c>
      <c r="BG206" s="784" t="s">
        <v>1594</v>
      </c>
      <c r="BH206" s="784"/>
      <c r="BI206" s="658" t="str">
        <f t="shared" si="127"/>
        <v>ALTO</v>
      </c>
      <c r="BJ206" s="681">
        <f t="shared" si="119"/>
        <v>0.67</v>
      </c>
      <c r="BK206" s="647" t="s">
        <v>1595</v>
      </c>
      <c r="BL206" s="682">
        <f t="shared" si="128"/>
        <v>0.13400000000000001</v>
      </c>
      <c r="BM206" s="682">
        <f t="shared" si="129"/>
        <v>0.67670000000000008</v>
      </c>
      <c r="BN206" s="682">
        <f t="shared" si="130"/>
        <v>2.4713115766930978</v>
      </c>
      <c r="BO206" s="658"/>
      <c r="BP206" s="885">
        <f t="shared" si="138"/>
        <v>0.33333333333333331</v>
      </c>
      <c r="BQ206" s="854" t="s">
        <v>105</v>
      </c>
      <c r="BR206" s="871">
        <f>0/100</f>
        <v>0</v>
      </c>
      <c r="BS206" s="874"/>
      <c r="BT206" s="872" t="s">
        <v>1587</v>
      </c>
      <c r="BU206" s="907" t="str">
        <f t="shared" si="120"/>
        <v>BAJO</v>
      </c>
      <c r="BV206" s="875">
        <f t="shared" si="124"/>
        <v>0</v>
      </c>
      <c r="BW206" s="859"/>
      <c r="BX206" s="857">
        <f t="shared" si="131"/>
        <v>0</v>
      </c>
      <c r="BY206" s="857">
        <f t="shared" si="132"/>
        <v>0</v>
      </c>
      <c r="BZ206" s="857">
        <f t="shared" si="133"/>
        <v>0</v>
      </c>
      <c r="CA206" s="857">
        <f t="shared" si="134"/>
        <v>0</v>
      </c>
      <c r="CB206" s="16">
        <f t="shared" si="135"/>
        <v>1.0033333333333334</v>
      </c>
      <c r="CC206" s="16">
        <f t="shared" si="136"/>
        <v>39542136.277533107</v>
      </c>
      <c r="CD206" s="16">
        <f t="shared" ref="CD206:CD237" si="139">SUM(X206+Y206+Z206+AA206)</f>
        <v>39542137.280866444</v>
      </c>
      <c r="CE206" s="16">
        <f t="shared" ref="CE206:CE244" si="140">SUM(AL206+AX206+BJ206+BV206)</f>
        <v>0.67</v>
      </c>
      <c r="CF206" s="16" t="e">
        <f>SUM(#REF!/(CC206+CB206))</f>
        <v>#REF!</v>
      </c>
      <c r="CG206" s="17"/>
      <c r="CH206" s="17"/>
      <c r="CI206" s="17"/>
      <c r="CJ206" s="17"/>
      <c r="CV206" s="346">
        <f t="shared" si="137"/>
        <v>39542137.280866444</v>
      </c>
    </row>
    <row r="207" spans="1:100" s="1" customFormat="1" ht="65.099999999999994" customHeight="1" x14ac:dyDescent="0.25">
      <c r="A207" s="354" t="s">
        <v>79</v>
      </c>
      <c r="B207" s="354" t="s">
        <v>80</v>
      </c>
      <c r="C207" s="354" t="s">
        <v>81</v>
      </c>
      <c r="D207" s="354" t="s">
        <v>82</v>
      </c>
      <c r="E207" s="354" t="s">
        <v>83</v>
      </c>
      <c r="F207" s="354" t="s">
        <v>84</v>
      </c>
      <c r="G207" s="354" t="s">
        <v>85</v>
      </c>
      <c r="H207" s="354" t="s">
        <v>86</v>
      </c>
      <c r="I207" s="354" t="s">
        <v>87</v>
      </c>
      <c r="J207" s="354" t="s">
        <v>88</v>
      </c>
      <c r="K207" s="348" t="s">
        <v>8</v>
      </c>
      <c r="L207" s="348" t="s">
        <v>539</v>
      </c>
      <c r="M207" s="686" t="s">
        <v>1596</v>
      </c>
      <c r="N207" s="361" t="s">
        <v>541</v>
      </c>
      <c r="O207" s="361" t="s">
        <v>126</v>
      </c>
      <c r="P207" s="922">
        <v>39542136.277533107</v>
      </c>
      <c r="Q207" s="393" t="s">
        <v>543</v>
      </c>
      <c r="R207" s="348" t="s">
        <v>213</v>
      </c>
      <c r="S207" s="360">
        <v>3</v>
      </c>
      <c r="T207" s="348" t="s">
        <v>1597</v>
      </c>
      <c r="U207" s="348" t="s">
        <v>1591</v>
      </c>
      <c r="V207" s="348" t="s">
        <v>98</v>
      </c>
      <c r="W207" s="355" t="s">
        <v>1598</v>
      </c>
      <c r="X207" s="445">
        <f>P207</f>
        <v>39542136.277533107</v>
      </c>
      <c r="Y207" s="430">
        <f>1/3</f>
        <v>0.33333333333333331</v>
      </c>
      <c r="Z207" s="430">
        <f>1/3</f>
        <v>0.33333333333333331</v>
      </c>
      <c r="AA207" s="431">
        <f>1/3</f>
        <v>0.33333333333333331</v>
      </c>
      <c r="AB207" s="525">
        <v>5</v>
      </c>
      <c r="AC207" s="413">
        <v>0.99009900990099009</v>
      </c>
      <c r="AD207" s="413">
        <v>0.27111109999999999</v>
      </c>
      <c r="AE207" s="413">
        <v>0.37727272727272726</v>
      </c>
      <c r="AF207" s="692">
        <f t="shared" si="125"/>
        <v>39542136.277533107</v>
      </c>
      <c r="AG207" s="693" t="s">
        <v>146</v>
      </c>
      <c r="AH207" s="718">
        <v>0</v>
      </c>
      <c r="AI207" s="722"/>
      <c r="AJ207" s="722"/>
      <c r="AK207" s="693"/>
      <c r="AL207" s="692">
        <f t="shared" si="109"/>
        <v>0</v>
      </c>
      <c r="AM207" s="697" t="s">
        <v>121</v>
      </c>
      <c r="AN207" s="693">
        <f t="shared" si="110"/>
        <v>0</v>
      </c>
      <c r="AO207" s="693">
        <f t="shared" si="111"/>
        <v>0</v>
      </c>
      <c r="AP207" s="693">
        <f t="shared" si="112"/>
        <v>0</v>
      </c>
      <c r="AQ207" s="693"/>
      <c r="AR207" s="401">
        <f t="shared" si="126"/>
        <v>0.33333333333333331</v>
      </c>
      <c r="AS207" s="402" t="s">
        <v>100</v>
      </c>
      <c r="AT207" s="641">
        <f>1/1</f>
        <v>1</v>
      </c>
      <c r="AU207" s="747" t="s">
        <v>1599</v>
      </c>
      <c r="AV207" s="747"/>
      <c r="AW207" s="729" t="str">
        <f t="shared" si="113"/>
        <v>ALTO</v>
      </c>
      <c r="AX207" s="397">
        <f t="shared" si="114"/>
        <v>0.33333333333333331</v>
      </c>
      <c r="AY207" s="399" t="s">
        <v>102</v>
      </c>
      <c r="AZ207" s="398">
        <f t="shared" si="115"/>
        <v>1.6666666666666665</v>
      </c>
      <c r="BA207" s="398">
        <f t="shared" si="116"/>
        <v>0.33003300330033003</v>
      </c>
      <c r="BB207" s="398">
        <f t="shared" si="117"/>
        <v>9.037036666666666E-2</v>
      </c>
      <c r="BC207" s="15"/>
      <c r="BD207" s="14">
        <f t="shared" si="118"/>
        <v>0.33333333333333331</v>
      </c>
      <c r="BE207" s="654" t="s">
        <v>100</v>
      </c>
      <c r="BF207" s="783">
        <f>2/2</f>
        <v>1</v>
      </c>
      <c r="BG207" s="784" t="s">
        <v>1600</v>
      </c>
      <c r="BH207" s="780"/>
      <c r="BI207" s="658" t="str">
        <f t="shared" si="127"/>
        <v>ALTO</v>
      </c>
      <c r="BJ207" s="681">
        <f t="shared" si="119"/>
        <v>0.33333333333333331</v>
      </c>
      <c r="BK207" s="647" t="s">
        <v>1601</v>
      </c>
      <c r="BL207" s="682">
        <f t="shared" si="128"/>
        <v>6.6666666666666666E-2</v>
      </c>
      <c r="BM207" s="682">
        <f t="shared" si="129"/>
        <v>0.33666666666666667</v>
      </c>
      <c r="BN207" s="682">
        <f t="shared" si="130"/>
        <v>1.2295082471109937</v>
      </c>
      <c r="BO207" s="658"/>
      <c r="BP207" s="885">
        <f t="shared" si="138"/>
        <v>0.33333333333333331</v>
      </c>
      <c r="BQ207" s="854" t="s">
        <v>105</v>
      </c>
      <c r="BR207" s="871">
        <v>0</v>
      </c>
      <c r="BS207" s="874"/>
      <c r="BT207" s="872" t="s">
        <v>1587</v>
      </c>
      <c r="BU207" s="907" t="str">
        <f t="shared" si="120"/>
        <v>BAJO</v>
      </c>
      <c r="BV207" s="875">
        <f t="shared" si="124"/>
        <v>0</v>
      </c>
      <c r="BW207" s="859"/>
      <c r="BX207" s="857">
        <f t="shared" si="131"/>
        <v>0</v>
      </c>
      <c r="BY207" s="857">
        <f t="shared" si="132"/>
        <v>0</v>
      </c>
      <c r="BZ207" s="857">
        <f t="shared" si="133"/>
        <v>0</v>
      </c>
      <c r="CA207" s="857">
        <f t="shared" si="134"/>
        <v>0</v>
      </c>
      <c r="CB207" s="16">
        <f t="shared" si="135"/>
        <v>0.66666666666666663</v>
      </c>
      <c r="CC207" s="16">
        <f t="shared" si="136"/>
        <v>39542136.610866442</v>
      </c>
      <c r="CD207" s="16">
        <f t="shared" si="139"/>
        <v>39542137.277533114</v>
      </c>
      <c r="CE207" s="16">
        <f t="shared" si="140"/>
        <v>0.66666666666666663</v>
      </c>
      <c r="CF207" s="16" t="e">
        <f>SUM(#REF!/(CC207+CB207))</f>
        <v>#REF!</v>
      </c>
      <c r="CG207" s="17"/>
      <c r="CH207" s="17"/>
      <c r="CI207" s="17"/>
      <c r="CJ207" s="17"/>
      <c r="CV207" s="346">
        <f t="shared" si="137"/>
        <v>39542137.277533114</v>
      </c>
    </row>
    <row r="208" spans="1:100" s="1" customFormat="1" ht="65.099999999999994" customHeight="1" x14ac:dyDescent="0.25">
      <c r="A208" s="354" t="s">
        <v>79</v>
      </c>
      <c r="B208" s="354" t="s">
        <v>80</v>
      </c>
      <c r="C208" s="354" t="s">
        <v>81</v>
      </c>
      <c r="D208" s="354" t="s">
        <v>82</v>
      </c>
      <c r="E208" s="354" t="s">
        <v>83</v>
      </c>
      <c r="F208" s="354" t="s">
        <v>84</v>
      </c>
      <c r="G208" s="354" t="s">
        <v>85</v>
      </c>
      <c r="H208" s="354" t="s">
        <v>86</v>
      </c>
      <c r="I208" s="354" t="s">
        <v>87</v>
      </c>
      <c r="J208" s="354" t="s">
        <v>88</v>
      </c>
      <c r="K208" s="348" t="s">
        <v>8</v>
      </c>
      <c r="L208" s="348" t="s">
        <v>539</v>
      </c>
      <c r="M208" s="686" t="s">
        <v>1602</v>
      </c>
      <c r="N208" s="361" t="s">
        <v>541</v>
      </c>
      <c r="O208" s="361" t="s">
        <v>126</v>
      </c>
      <c r="P208" s="922">
        <v>39542136.277533107</v>
      </c>
      <c r="Q208" s="393" t="s">
        <v>543</v>
      </c>
      <c r="R208" s="348" t="s">
        <v>213</v>
      </c>
      <c r="S208" s="360">
        <v>4</v>
      </c>
      <c r="T208" s="348" t="s">
        <v>1603</v>
      </c>
      <c r="U208" s="348" t="s">
        <v>1591</v>
      </c>
      <c r="V208" s="348" t="s">
        <v>98</v>
      </c>
      <c r="W208" s="355" t="s">
        <v>1604</v>
      </c>
      <c r="X208" s="445">
        <v>0</v>
      </c>
      <c r="Y208" s="430">
        <v>0</v>
      </c>
      <c r="Z208" s="430">
        <v>0.75</v>
      </c>
      <c r="AA208" s="431">
        <v>0.25</v>
      </c>
      <c r="AB208" s="525">
        <v>5</v>
      </c>
      <c r="AC208" s="413">
        <v>0.99009900990099009</v>
      </c>
      <c r="AD208" s="413">
        <v>0.27111109999999999</v>
      </c>
      <c r="AE208" s="413">
        <v>0.37727272727272726</v>
      </c>
      <c r="AF208" s="692">
        <f t="shared" si="125"/>
        <v>0</v>
      </c>
      <c r="AG208" s="693" t="s">
        <v>146</v>
      </c>
      <c r="AH208" s="718">
        <v>0</v>
      </c>
      <c r="AI208" s="722"/>
      <c r="AJ208" s="722"/>
      <c r="AK208" s="693"/>
      <c r="AL208" s="692">
        <f t="shared" si="109"/>
        <v>0</v>
      </c>
      <c r="AM208" s="697" t="s">
        <v>121</v>
      </c>
      <c r="AN208" s="693">
        <f t="shared" si="110"/>
        <v>0</v>
      </c>
      <c r="AO208" s="693">
        <f t="shared" si="111"/>
        <v>0</v>
      </c>
      <c r="AP208" s="693">
        <f t="shared" si="112"/>
        <v>0</v>
      </c>
      <c r="AQ208" s="693"/>
      <c r="AR208" s="401">
        <f t="shared" si="126"/>
        <v>0</v>
      </c>
      <c r="AS208" s="402" t="s">
        <v>100</v>
      </c>
      <c r="AT208" s="641">
        <v>0</v>
      </c>
      <c r="AU208" s="747"/>
      <c r="AV208" s="747"/>
      <c r="AW208" s="729" t="str">
        <f t="shared" si="113"/>
        <v>BAJO</v>
      </c>
      <c r="AX208" s="397">
        <f t="shared" si="114"/>
        <v>0</v>
      </c>
      <c r="AY208" s="399" t="s">
        <v>1561</v>
      </c>
      <c r="AZ208" s="398">
        <f t="shared" si="115"/>
        <v>0</v>
      </c>
      <c r="BA208" s="398">
        <f t="shared" si="116"/>
        <v>0</v>
      </c>
      <c r="BB208" s="398">
        <f t="shared" si="117"/>
        <v>0</v>
      </c>
      <c r="BC208" s="15"/>
      <c r="BD208" s="14">
        <f t="shared" si="118"/>
        <v>0.75</v>
      </c>
      <c r="BE208" s="650" t="s">
        <v>100</v>
      </c>
      <c r="BF208" s="651">
        <f>2/2</f>
        <v>1</v>
      </c>
      <c r="BG208" s="784" t="s">
        <v>1605</v>
      </c>
      <c r="BH208" s="780"/>
      <c r="BI208" s="658" t="str">
        <f t="shared" si="127"/>
        <v>ALTO</v>
      </c>
      <c r="BJ208" s="681">
        <f t="shared" si="119"/>
        <v>0.75</v>
      </c>
      <c r="BK208" s="647" t="s">
        <v>1606</v>
      </c>
      <c r="BL208" s="682">
        <f t="shared" si="128"/>
        <v>0.15</v>
      </c>
      <c r="BM208" s="682">
        <f t="shared" si="129"/>
        <v>0.75750000000000006</v>
      </c>
      <c r="BN208" s="682">
        <f t="shared" si="130"/>
        <v>2.7663935559997359</v>
      </c>
      <c r="BO208" s="658"/>
      <c r="BP208" s="885">
        <f t="shared" si="138"/>
        <v>0.25</v>
      </c>
      <c r="BQ208" s="854" t="s">
        <v>105</v>
      </c>
      <c r="BR208" s="871">
        <f>100/100</f>
        <v>1</v>
      </c>
      <c r="BS208" s="874" t="s">
        <v>1605</v>
      </c>
      <c r="BT208" s="872"/>
      <c r="BU208" s="905" t="str">
        <f t="shared" si="120"/>
        <v>ALTO</v>
      </c>
      <c r="BV208" s="875">
        <f t="shared" si="124"/>
        <v>0.25</v>
      </c>
      <c r="BW208" s="859" t="s">
        <v>1023</v>
      </c>
      <c r="BX208" s="857">
        <f t="shared" si="131"/>
        <v>1.25</v>
      </c>
      <c r="BY208" s="857">
        <f t="shared" si="132"/>
        <v>0.24752475247524752</v>
      </c>
      <c r="BZ208" s="857">
        <f t="shared" si="133"/>
        <v>6.7777774999999998E-2</v>
      </c>
      <c r="CA208" s="857">
        <f t="shared" si="134"/>
        <v>9.4318181818181815E-2</v>
      </c>
      <c r="CB208" s="16">
        <f t="shared" si="135"/>
        <v>1</v>
      </c>
      <c r="CC208" s="16">
        <f t="shared" si="136"/>
        <v>0</v>
      </c>
      <c r="CD208" s="16">
        <f t="shared" si="139"/>
        <v>1</v>
      </c>
      <c r="CE208" s="16">
        <f t="shared" si="140"/>
        <v>1</v>
      </c>
      <c r="CF208" s="16" t="e">
        <f>SUM(#REF!/(CC208+CB208))</f>
        <v>#REF!</v>
      </c>
      <c r="CG208" s="17"/>
      <c r="CH208" s="17"/>
      <c r="CI208" s="17"/>
      <c r="CJ208" s="17"/>
      <c r="CV208" s="346">
        <f t="shared" si="137"/>
        <v>1</v>
      </c>
    </row>
    <row r="209" spans="1:100" s="1" customFormat="1" ht="65.099999999999994" customHeight="1" x14ac:dyDescent="0.25">
      <c r="A209" s="354" t="s">
        <v>79</v>
      </c>
      <c r="B209" s="354" t="s">
        <v>80</v>
      </c>
      <c r="C209" s="354" t="s">
        <v>81</v>
      </c>
      <c r="D209" s="354" t="s">
        <v>82</v>
      </c>
      <c r="E209" s="354" t="s">
        <v>83</v>
      </c>
      <c r="F209" s="354" t="s">
        <v>84</v>
      </c>
      <c r="G209" s="354" t="s">
        <v>85</v>
      </c>
      <c r="H209" s="354" t="s">
        <v>86</v>
      </c>
      <c r="I209" s="354" t="s">
        <v>87</v>
      </c>
      <c r="J209" s="354" t="s">
        <v>88</v>
      </c>
      <c r="K209" s="348" t="s">
        <v>8</v>
      </c>
      <c r="L209" s="348" t="s">
        <v>539</v>
      </c>
      <c r="M209" s="686" t="s">
        <v>1607</v>
      </c>
      <c r="N209" s="361" t="s">
        <v>541</v>
      </c>
      <c r="O209" s="361" t="s">
        <v>126</v>
      </c>
      <c r="P209" s="922">
        <v>39542136.277533107</v>
      </c>
      <c r="Q209" s="393" t="s">
        <v>543</v>
      </c>
      <c r="R209" s="348" t="s">
        <v>213</v>
      </c>
      <c r="S209" s="348">
        <v>12</v>
      </c>
      <c r="T209" s="348" t="s">
        <v>1608</v>
      </c>
      <c r="U209" s="348" t="s">
        <v>1549</v>
      </c>
      <c r="V209" s="348" t="s">
        <v>98</v>
      </c>
      <c r="W209" s="355" t="s">
        <v>1609</v>
      </c>
      <c r="X209" s="445">
        <v>0.25</v>
      </c>
      <c r="Y209" s="430">
        <v>0.25</v>
      </c>
      <c r="Z209" s="430">
        <v>0.25</v>
      </c>
      <c r="AA209" s="431">
        <v>0.25</v>
      </c>
      <c r="AB209" s="525">
        <v>5</v>
      </c>
      <c r="AC209" s="413">
        <v>0.99009900990099009</v>
      </c>
      <c r="AD209" s="413">
        <v>0.27111109999999999</v>
      </c>
      <c r="AE209" s="413">
        <v>0.37727272727272726</v>
      </c>
      <c r="AF209" s="692">
        <f t="shared" si="125"/>
        <v>0.25</v>
      </c>
      <c r="AG209" s="693" t="s">
        <v>100</v>
      </c>
      <c r="AH209" s="718">
        <v>0</v>
      </c>
      <c r="AI209" s="722"/>
      <c r="AJ209" s="722"/>
      <c r="AK209" s="693" t="str">
        <f>+IF(AND(AH209&gt;=0%,AH209&lt;=60%),"BAJO",IF(AND(AH209&gt;=61%,AH209&lt;=80%),"MEDIO","ALTO"))</f>
        <v>BAJO</v>
      </c>
      <c r="AL209" s="692">
        <f t="shared" si="109"/>
        <v>0</v>
      </c>
      <c r="AM209" s="697" t="s">
        <v>522</v>
      </c>
      <c r="AN209" s="693">
        <f t="shared" si="110"/>
        <v>0</v>
      </c>
      <c r="AO209" s="693">
        <f t="shared" si="111"/>
        <v>0</v>
      </c>
      <c r="AP209" s="693">
        <f t="shared" si="112"/>
        <v>0</v>
      </c>
      <c r="AQ209" s="693"/>
      <c r="AR209" s="401">
        <f t="shared" si="126"/>
        <v>0.25</v>
      </c>
      <c r="AS209" s="402" t="s">
        <v>100</v>
      </c>
      <c r="AT209" s="641">
        <f>3/3</f>
        <v>1</v>
      </c>
      <c r="AU209" s="631" t="s">
        <v>1610</v>
      </c>
      <c r="AV209" s="747"/>
      <c r="AW209" s="729" t="str">
        <f t="shared" si="113"/>
        <v>ALTO</v>
      </c>
      <c r="AX209" s="397">
        <f t="shared" si="114"/>
        <v>0.25</v>
      </c>
      <c r="AY209" s="399" t="s">
        <v>1468</v>
      </c>
      <c r="AZ209" s="398">
        <f t="shared" si="115"/>
        <v>1.25</v>
      </c>
      <c r="BA209" s="398">
        <f t="shared" si="116"/>
        <v>0.24752475247524752</v>
      </c>
      <c r="BB209" s="398">
        <f t="shared" si="117"/>
        <v>6.7777774999999998E-2</v>
      </c>
      <c r="BC209" s="15"/>
      <c r="BD209" s="14">
        <f t="shared" si="118"/>
        <v>0.25</v>
      </c>
      <c r="BE209" s="654" t="s">
        <v>100</v>
      </c>
      <c r="BF209" s="783">
        <v>1</v>
      </c>
      <c r="BG209" s="657" t="s">
        <v>1611</v>
      </c>
      <c r="BH209" s="780"/>
      <c r="BI209" s="658" t="str">
        <f t="shared" si="127"/>
        <v>ALTO</v>
      </c>
      <c r="BJ209" s="681">
        <f t="shared" si="119"/>
        <v>0.25</v>
      </c>
      <c r="BK209" s="647" t="s">
        <v>1612</v>
      </c>
      <c r="BL209" s="682">
        <f t="shared" si="128"/>
        <v>0.05</v>
      </c>
      <c r="BM209" s="682">
        <f t="shared" si="129"/>
        <v>0.2525</v>
      </c>
      <c r="BN209" s="682">
        <f t="shared" si="130"/>
        <v>0.92213118533324534</v>
      </c>
      <c r="BO209" s="658"/>
      <c r="BP209" s="885">
        <f t="shared" si="138"/>
        <v>0.25</v>
      </c>
      <c r="BQ209" s="854" t="s">
        <v>105</v>
      </c>
      <c r="BR209" s="871">
        <f>100/100</f>
        <v>1</v>
      </c>
      <c r="BS209" s="874" t="s">
        <v>1613</v>
      </c>
      <c r="BT209" s="872"/>
      <c r="BU209" s="905" t="str">
        <f t="shared" si="120"/>
        <v>ALTO</v>
      </c>
      <c r="BV209" s="875">
        <f t="shared" si="124"/>
        <v>0.25</v>
      </c>
      <c r="BW209" s="859" t="s">
        <v>1023</v>
      </c>
      <c r="BX209" s="857">
        <f t="shared" si="131"/>
        <v>1.25</v>
      </c>
      <c r="BY209" s="857">
        <f t="shared" si="132"/>
        <v>0.24752475247524752</v>
      </c>
      <c r="BZ209" s="857">
        <f t="shared" si="133"/>
        <v>6.7777774999999998E-2</v>
      </c>
      <c r="CA209" s="857">
        <f t="shared" si="134"/>
        <v>9.4318181818181815E-2</v>
      </c>
      <c r="CB209" s="16">
        <f t="shared" si="135"/>
        <v>0.5</v>
      </c>
      <c r="CC209" s="16">
        <f t="shared" si="136"/>
        <v>0.5</v>
      </c>
      <c r="CD209" s="16">
        <f t="shared" si="139"/>
        <v>1</v>
      </c>
      <c r="CE209" s="16">
        <f t="shared" si="140"/>
        <v>0.75</v>
      </c>
      <c r="CF209" s="16" t="e">
        <f>SUM(#REF!/(CC209+CB209))</f>
        <v>#REF!</v>
      </c>
      <c r="CG209" s="17"/>
      <c r="CH209" s="17"/>
      <c r="CI209" s="17"/>
      <c r="CJ209" s="17"/>
      <c r="CV209" s="346">
        <f t="shared" si="137"/>
        <v>1</v>
      </c>
    </row>
    <row r="210" spans="1:100" s="1" customFormat="1" ht="65.099999999999994" customHeight="1" x14ac:dyDescent="0.25">
      <c r="A210" s="354" t="s">
        <v>79</v>
      </c>
      <c r="B210" s="354" t="s">
        <v>80</v>
      </c>
      <c r="C210" s="354" t="s">
        <v>81</v>
      </c>
      <c r="D210" s="354" t="s">
        <v>82</v>
      </c>
      <c r="E210" s="354" t="s">
        <v>83</v>
      </c>
      <c r="F210" s="354" t="s">
        <v>84</v>
      </c>
      <c r="G210" s="354" t="s">
        <v>85</v>
      </c>
      <c r="H210" s="354" t="s">
        <v>86</v>
      </c>
      <c r="I210" s="354" t="s">
        <v>87</v>
      </c>
      <c r="J210" s="354" t="s">
        <v>88</v>
      </c>
      <c r="K210" s="348" t="s">
        <v>8</v>
      </c>
      <c r="L210" s="348" t="s">
        <v>539</v>
      </c>
      <c r="M210" s="686" t="s">
        <v>1614</v>
      </c>
      <c r="N210" s="361" t="s">
        <v>541</v>
      </c>
      <c r="O210" s="361" t="s">
        <v>126</v>
      </c>
      <c r="P210" s="922">
        <v>39542136.277533107</v>
      </c>
      <c r="Q210" s="393" t="s">
        <v>543</v>
      </c>
      <c r="R210" s="348" t="s">
        <v>213</v>
      </c>
      <c r="S210" s="348">
        <v>12</v>
      </c>
      <c r="T210" s="348" t="s">
        <v>1615</v>
      </c>
      <c r="U210" s="348" t="s">
        <v>1616</v>
      </c>
      <c r="V210" s="348" t="s">
        <v>98</v>
      </c>
      <c r="W210" s="355" t="s">
        <v>1617</v>
      </c>
      <c r="X210" s="445">
        <v>0</v>
      </c>
      <c r="Y210" s="430">
        <v>0.5</v>
      </c>
      <c r="Z210" s="430">
        <v>0.25</v>
      </c>
      <c r="AA210" s="431">
        <v>0.25</v>
      </c>
      <c r="AB210" s="525">
        <v>5</v>
      </c>
      <c r="AC210" s="413">
        <v>0.99009900990099009</v>
      </c>
      <c r="AD210" s="413">
        <v>0.27111109999999999</v>
      </c>
      <c r="AE210" s="413">
        <v>0.37727272727272726</v>
      </c>
      <c r="AF210" s="692">
        <f t="shared" si="125"/>
        <v>0</v>
      </c>
      <c r="AG210" s="693" t="s">
        <v>146</v>
      </c>
      <c r="AH210" s="718">
        <v>0</v>
      </c>
      <c r="AI210" s="722"/>
      <c r="AJ210" s="722"/>
      <c r="AK210" s="693"/>
      <c r="AL210" s="692">
        <f t="shared" si="109"/>
        <v>0</v>
      </c>
      <c r="AM210" s="697" t="s">
        <v>121</v>
      </c>
      <c r="AN210" s="693">
        <f t="shared" si="110"/>
        <v>0</v>
      </c>
      <c r="AO210" s="693">
        <f t="shared" si="111"/>
        <v>0</v>
      </c>
      <c r="AP210" s="693">
        <f t="shared" si="112"/>
        <v>0</v>
      </c>
      <c r="AQ210" s="693"/>
      <c r="AR210" s="401">
        <f t="shared" si="126"/>
        <v>0.5</v>
      </c>
      <c r="AS210" s="402" t="s">
        <v>100</v>
      </c>
      <c r="AT210" s="641">
        <f>6/6</f>
        <v>1</v>
      </c>
      <c r="AU210" s="631" t="s">
        <v>1618</v>
      </c>
      <c r="AV210" s="747"/>
      <c r="AW210" s="729" t="str">
        <f t="shared" si="113"/>
        <v>ALTO</v>
      </c>
      <c r="AX210" s="397">
        <f t="shared" si="114"/>
        <v>0.5</v>
      </c>
      <c r="AY210" s="399" t="s">
        <v>1468</v>
      </c>
      <c r="AZ210" s="398">
        <f t="shared" si="115"/>
        <v>2.5</v>
      </c>
      <c r="BA210" s="398">
        <f t="shared" si="116"/>
        <v>0.49504950495049505</v>
      </c>
      <c r="BB210" s="398">
        <f t="shared" si="117"/>
        <v>0.13555555</v>
      </c>
      <c r="BC210" s="15"/>
      <c r="BD210" s="14">
        <f t="shared" si="118"/>
        <v>0.25</v>
      </c>
      <c r="BE210" s="654" t="s">
        <v>100</v>
      </c>
      <c r="BF210" s="783">
        <f>6/6</f>
        <v>1</v>
      </c>
      <c r="BG210" s="657" t="s">
        <v>1619</v>
      </c>
      <c r="BH210" s="780"/>
      <c r="BI210" s="658" t="str">
        <f t="shared" si="127"/>
        <v>ALTO</v>
      </c>
      <c r="BJ210" s="681">
        <f t="shared" si="119"/>
        <v>0.25</v>
      </c>
      <c r="BK210" s="647" t="s">
        <v>1620</v>
      </c>
      <c r="BL210" s="682">
        <f t="shared" si="128"/>
        <v>0.05</v>
      </c>
      <c r="BM210" s="682">
        <f t="shared" si="129"/>
        <v>0.2525</v>
      </c>
      <c r="BN210" s="682">
        <f t="shared" si="130"/>
        <v>0.92213118533324534</v>
      </c>
      <c r="BO210" s="658"/>
      <c r="BP210" s="885">
        <f t="shared" si="138"/>
        <v>0.25</v>
      </c>
      <c r="BQ210" s="854" t="s">
        <v>105</v>
      </c>
      <c r="BR210" s="871">
        <f>100/100</f>
        <v>1</v>
      </c>
      <c r="BS210" s="874" t="s">
        <v>1614</v>
      </c>
      <c r="BT210" s="872"/>
      <c r="BU210" s="905" t="str">
        <f t="shared" si="120"/>
        <v>ALTO</v>
      </c>
      <c r="BV210" s="875">
        <f t="shared" si="124"/>
        <v>0.25</v>
      </c>
      <c r="BW210" s="859" t="s">
        <v>1023</v>
      </c>
      <c r="BX210" s="857">
        <f t="shared" si="131"/>
        <v>1.25</v>
      </c>
      <c r="BY210" s="857">
        <f t="shared" si="132"/>
        <v>0.24752475247524752</v>
      </c>
      <c r="BZ210" s="857">
        <f t="shared" si="133"/>
        <v>6.7777774999999998E-2</v>
      </c>
      <c r="CA210" s="857">
        <f t="shared" si="134"/>
        <v>9.4318181818181815E-2</v>
      </c>
      <c r="CB210" s="16">
        <f t="shared" si="135"/>
        <v>0.5</v>
      </c>
      <c r="CC210" s="16">
        <f t="shared" si="136"/>
        <v>0.5</v>
      </c>
      <c r="CD210" s="16">
        <f t="shared" si="139"/>
        <v>1</v>
      </c>
      <c r="CE210" s="16">
        <f t="shared" si="140"/>
        <v>1</v>
      </c>
      <c r="CF210" s="16" t="e">
        <f>SUM(#REF!/(CC210+CB210))</f>
        <v>#REF!</v>
      </c>
      <c r="CG210" s="17"/>
      <c r="CH210" s="17"/>
      <c r="CI210" s="17"/>
      <c r="CJ210" s="17"/>
      <c r="CV210" s="346">
        <f t="shared" si="137"/>
        <v>1</v>
      </c>
    </row>
    <row r="211" spans="1:100" s="1" customFormat="1" ht="65.099999999999994" customHeight="1" x14ac:dyDescent="0.25">
      <c r="A211" s="356" t="s">
        <v>79</v>
      </c>
      <c r="B211" s="356" t="s">
        <v>80</v>
      </c>
      <c r="C211" s="356" t="s">
        <v>81</v>
      </c>
      <c r="D211" s="356" t="s">
        <v>82</v>
      </c>
      <c r="E211" s="356" t="s">
        <v>83</v>
      </c>
      <c r="F211" s="356" t="s">
        <v>84</v>
      </c>
      <c r="G211" s="356" t="s">
        <v>85</v>
      </c>
      <c r="H211" s="356" t="s">
        <v>86</v>
      </c>
      <c r="I211" s="356" t="s">
        <v>87</v>
      </c>
      <c r="J211" s="356" t="s">
        <v>88</v>
      </c>
      <c r="K211" s="357" t="s">
        <v>8</v>
      </c>
      <c r="L211" s="357" t="s">
        <v>539</v>
      </c>
      <c r="M211" s="357" t="s">
        <v>153</v>
      </c>
      <c r="N211" s="367" t="s">
        <v>91</v>
      </c>
      <c r="O211" s="367" t="s">
        <v>154</v>
      </c>
      <c r="P211" s="930">
        <v>39542136.277533107</v>
      </c>
      <c r="Q211" s="357" t="s">
        <v>543</v>
      </c>
      <c r="R211" s="357" t="s">
        <v>156</v>
      </c>
      <c r="S211" s="357">
        <v>3</v>
      </c>
      <c r="T211" s="369" t="s">
        <v>157</v>
      </c>
      <c r="U211" s="357" t="s">
        <v>158</v>
      </c>
      <c r="V211" s="370" t="s">
        <v>98</v>
      </c>
      <c r="W211" s="497" t="s">
        <v>159</v>
      </c>
      <c r="X211" s="432">
        <v>0</v>
      </c>
      <c r="Y211" s="432">
        <v>0.34</v>
      </c>
      <c r="Z211" s="432">
        <v>0.33</v>
      </c>
      <c r="AA211" s="444">
        <v>0.33</v>
      </c>
      <c r="AB211" s="525">
        <v>5</v>
      </c>
      <c r="AC211" s="413">
        <v>0.99009900990099009</v>
      </c>
      <c r="AD211" s="413">
        <v>0.27111109999999999</v>
      </c>
      <c r="AE211" s="413">
        <v>0.37727272727272726</v>
      </c>
      <c r="AF211" s="692">
        <f t="shared" si="125"/>
        <v>0</v>
      </c>
      <c r="AG211" s="693" t="s">
        <v>146</v>
      </c>
      <c r="AH211" s="718">
        <v>0</v>
      </c>
      <c r="AI211" s="722"/>
      <c r="AJ211" s="722"/>
      <c r="AK211" s="693"/>
      <c r="AL211" s="692">
        <f t="shared" si="109"/>
        <v>0</v>
      </c>
      <c r="AM211" s="697" t="s">
        <v>121</v>
      </c>
      <c r="AN211" s="693">
        <f t="shared" si="110"/>
        <v>0</v>
      </c>
      <c r="AO211" s="693">
        <f t="shared" si="111"/>
        <v>0</v>
      </c>
      <c r="AP211" s="693">
        <f t="shared" si="112"/>
        <v>0</v>
      </c>
      <c r="AQ211" s="693"/>
      <c r="AR211" s="401">
        <f t="shared" si="126"/>
        <v>0.34</v>
      </c>
      <c r="AS211" s="402" t="s">
        <v>100</v>
      </c>
      <c r="AT211" s="641">
        <f>1/1</f>
        <v>1</v>
      </c>
      <c r="AU211" s="747"/>
      <c r="AV211" s="747"/>
      <c r="AW211" s="729" t="str">
        <f t="shared" si="113"/>
        <v>ALTO</v>
      </c>
      <c r="AX211" s="397">
        <f t="shared" si="114"/>
        <v>0.34</v>
      </c>
      <c r="AY211" s="399" t="s">
        <v>1621</v>
      </c>
      <c r="AZ211" s="398">
        <f t="shared" si="115"/>
        <v>1.7000000000000002</v>
      </c>
      <c r="BA211" s="398">
        <f t="shared" si="116"/>
        <v>0.33663366336633666</v>
      </c>
      <c r="BB211" s="398">
        <f t="shared" si="117"/>
        <v>9.2177774000000004E-2</v>
      </c>
      <c r="BC211" s="15"/>
      <c r="BD211" s="14">
        <f t="shared" si="118"/>
        <v>0.33</v>
      </c>
      <c r="BE211" s="677" t="s">
        <v>100</v>
      </c>
      <c r="BF211" s="679">
        <f>1/1</f>
        <v>1</v>
      </c>
      <c r="BG211" s="657" t="s">
        <v>1622</v>
      </c>
      <c r="BH211" s="658"/>
      <c r="BI211" s="658" t="str">
        <f t="shared" si="127"/>
        <v>ALTO</v>
      </c>
      <c r="BJ211" s="681">
        <f t="shared" si="119"/>
        <v>0.33</v>
      </c>
      <c r="BK211" s="647" t="s">
        <v>1623</v>
      </c>
      <c r="BL211" s="682">
        <f t="shared" si="128"/>
        <v>6.6000000000000003E-2</v>
      </c>
      <c r="BM211" s="682">
        <f t="shared" si="129"/>
        <v>0.33330000000000004</v>
      </c>
      <c r="BN211" s="682">
        <f t="shared" si="130"/>
        <v>1.2172131646398838</v>
      </c>
      <c r="BO211" s="658"/>
      <c r="BP211" s="885">
        <f t="shared" si="138"/>
        <v>0.33</v>
      </c>
      <c r="BQ211" s="854" t="s">
        <v>105</v>
      </c>
      <c r="BR211" s="871">
        <v>1</v>
      </c>
      <c r="BS211" s="874" t="s">
        <v>1623</v>
      </c>
      <c r="BT211" s="872"/>
      <c r="BU211" s="905" t="str">
        <f t="shared" si="120"/>
        <v>ALTO</v>
      </c>
      <c r="BV211" s="875">
        <f t="shared" si="124"/>
        <v>0.33</v>
      </c>
      <c r="BW211" s="859" t="s">
        <v>336</v>
      </c>
      <c r="BX211" s="857">
        <f t="shared" si="131"/>
        <v>1.6500000000000001</v>
      </c>
      <c r="BY211" s="857">
        <f t="shared" si="132"/>
        <v>0.32673267326732675</v>
      </c>
      <c r="BZ211" s="857">
        <f t="shared" si="133"/>
        <v>8.9466663000000002E-2</v>
      </c>
      <c r="CA211" s="857">
        <f t="shared" si="134"/>
        <v>0.1245</v>
      </c>
      <c r="CB211" s="16">
        <f t="shared" si="135"/>
        <v>0.66</v>
      </c>
      <c r="CC211" s="16">
        <f t="shared" si="136"/>
        <v>0.34</v>
      </c>
      <c r="CD211" s="16">
        <f t="shared" si="139"/>
        <v>1</v>
      </c>
      <c r="CE211" s="16">
        <f t="shared" si="140"/>
        <v>1</v>
      </c>
      <c r="CF211" s="16" t="e">
        <f>SUM(#REF!/(CC211+CB211))</f>
        <v>#REF!</v>
      </c>
      <c r="CG211" s="17"/>
      <c r="CH211" s="17"/>
      <c r="CI211" s="17"/>
      <c r="CJ211" s="17"/>
      <c r="CK211" s="3" t="s">
        <v>165</v>
      </c>
      <c r="CV211" s="346">
        <f t="shared" si="137"/>
        <v>1</v>
      </c>
    </row>
    <row r="212" spans="1:100" s="1" customFormat="1" ht="65.099999999999994" customHeight="1" x14ac:dyDescent="0.25">
      <c r="A212" s="356" t="s">
        <v>79</v>
      </c>
      <c r="B212" s="356" t="s">
        <v>80</v>
      </c>
      <c r="C212" s="356" t="s">
        <v>81</v>
      </c>
      <c r="D212" s="356" t="s">
        <v>82</v>
      </c>
      <c r="E212" s="356" t="s">
        <v>83</v>
      </c>
      <c r="F212" s="356" t="s">
        <v>84</v>
      </c>
      <c r="G212" s="356" t="s">
        <v>85</v>
      </c>
      <c r="H212" s="356" t="s">
        <v>86</v>
      </c>
      <c r="I212" s="356" t="s">
        <v>87</v>
      </c>
      <c r="J212" s="356" t="s">
        <v>88</v>
      </c>
      <c r="K212" s="357" t="s">
        <v>8</v>
      </c>
      <c r="L212" s="357" t="s">
        <v>539</v>
      </c>
      <c r="M212" s="357" t="s">
        <v>166</v>
      </c>
      <c r="N212" s="367" t="s">
        <v>91</v>
      </c>
      <c r="O212" s="367" t="s">
        <v>154</v>
      </c>
      <c r="P212" s="930">
        <v>39542136.277533107</v>
      </c>
      <c r="Q212" s="357" t="s">
        <v>543</v>
      </c>
      <c r="R212" s="357" t="s">
        <v>156</v>
      </c>
      <c r="S212" s="357">
        <v>3</v>
      </c>
      <c r="T212" s="377" t="s">
        <v>167</v>
      </c>
      <c r="U212" s="357" t="s">
        <v>168</v>
      </c>
      <c r="V212" s="357" t="s">
        <v>98</v>
      </c>
      <c r="W212" s="497" t="s">
        <v>616</v>
      </c>
      <c r="X212" s="432">
        <v>0</v>
      </c>
      <c r="Y212" s="432">
        <v>0.34</v>
      </c>
      <c r="Z212" s="432">
        <v>0.33</v>
      </c>
      <c r="AA212" s="444">
        <v>0.33</v>
      </c>
      <c r="AB212" s="525">
        <v>5</v>
      </c>
      <c r="AC212" s="413">
        <v>0.99009900990099009</v>
      </c>
      <c r="AD212" s="413">
        <v>0.27111109999999999</v>
      </c>
      <c r="AE212" s="413">
        <v>0.37727272727272726</v>
      </c>
      <c r="AF212" s="692">
        <f t="shared" si="125"/>
        <v>0</v>
      </c>
      <c r="AG212" s="693" t="s">
        <v>146</v>
      </c>
      <c r="AH212" s="718">
        <v>0</v>
      </c>
      <c r="AI212" s="722"/>
      <c r="AJ212" s="722"/>
      <c r="AK212" s="693"/>
      <c r="AL212" s="692">
        <f t="shared" si="109"/>
        <v>0</v>
      </c>
      <c r="AM212" s="697" t="s">
        <v>121</v>
      </c>
      <c r="AN212" s="693">
        <f t="shared" si="110"/>
        <v>0</v>
      </c>
      <c r="AO212" s="693">
        <f t="shared" si="111"/>
        <v>0</v>
      </c>
      <c r="AP212" s="693">
        <f t="shared" si="112"/>
        <v>0</v>
      </c>
      <c r="AQ212" s="693"/>
      <c r="AR212" s="401">
        <f t="shared" si="126"/>
        <v>0.34</v>
      </c>
      <c r="AS212" s="402" t="s">
        <v>100</v>
      </c>
      <c r="AT212" s="641">
        <f>1/1</f>
        <v>1</v>
      </c>
      <c r="AU212" s="747"/>
      <c r="AV212" s="747"/>
      <c r="AW212" s="729" t="str">
        <f t="shared" si="113"/>
        <v>ALTO</v>
      </c>
      <c r="AX212" s="397">
        <f t="shared" si="114"/>
        <v>0.34</v>
      </c>
      <c r="AY212" s="399" t="s">
        <v>1621</v>
      </c>
      <c r="AZ212" s="398">
        <f t="shared" si="115"/>
        <v>1.7000000000000002</v>
      </c>
      <c r="BA212" s="398">
        <f t="shared" si="116"/>
        <v>0.33663366336633666</v>
      </c>
      <c r="BB212" s="398">
        <f t="shared" si="117"/>
        <v>9.2177774000000004E-2</v>
      </c>
      <c r="BC212" s="15"/>
      <c r="BD212" s="14">
        <f t="shared" si="118"/>
        <v>0.33</v>
      </c>
      <c r="BE212" s="677" t="s">
        <v>100</v>
      </c>
      <c r="BF212" s="679">
        <v>1</v>
      </c>
      <c r="BG212" s="657" t="s">
        <v>1624</v>
      </c>
      <c r="BH212" s="658"/>
      <c r="BI212" s="658" t="str">
        <f t="shared" si="127"/>
        <v>ALTO</v>
      </c>
      <c r="BJ212" s="681">
        <f t="shared" si="119"/>
        <v>0.33</v>
      </c>
      <c r="BK212" s="647" t="s">
        <v>1625</v>
      </c>
      <c r="BL212" s="682">
        <f t="shared" si="128"/>
        <v>6.6000000000000003E-2</v>
      </c>
      <c r="BM212" s="682">
        <f t="shared" si="129"/>
        <v>0.33330000000000004</v>
      </c>
      <c r="BN212" s="682">
        <f t="shared" si="130"/>
        <v>1.2172131646398838</v>
      </c>
      <c r="BO212" s="658"/>
      <c r="BP212" s="885">
        <f t="shared" si="138"/>
        <v>0.33</v>
      </c>
      <c r="BQ212" s="854" t="s">
        <v>105</v>
      </c>
      <c r="BR212" s="871">
        <v>0</v>
      </c>
      <c r="BS212" s="874" t="s">
        <v>1625</v>
      </c>
      <c r="BT212" s="872"/>
      <c r="BU212" s="907" t="str">
        <f t="shared" si="120"/>
        <v>BAJO</v>
      </c>
      <c r="BV212" s="875">
        <f t="shared" si="124"/>
        <v>0</v>
      </c>
      <c r="BW212" s="859" t="s">
        <v>1394</v>
      </c>
      <c r="BX212" s="857">
        <f t="shared" si="131"/>
        <v>0</v>
      </c>
      <c r="BY212" s="857">
        <f t="shared" si="132"/>
        <v>0</v>
      </c>
      <c r="BZ212" s="857">
        <f t="shared" si="133"/>
        <v>0</v>
      </c>
      <c r="CA212" s="857">
        <f t="shared" si="134"/>
        <v>0</v>
      </c>
      <c r="CB212" s="16">
        <f t="shared" si="135"/>
        <v>0.66</v>
      </c>
      <c r="CC212" s="16">
        <f t="shared" si="136"/>
        <v>0.34</v>
      </c>
      <c r="CD212" s="16">
        <f t="shared" si="139"/>
        <v>1</v>
      </c>
      <c r="CE212" s="16">
        <f t="shared" si="140"/>
        <v>0.67</v>
      </c>
      <c r="CF212" s="16" t="e">
        <f>SUM(#REF!/(CC212+CB212))</f>
        <v>#REF!</v>
      </c>
      <c r="CG212" s="17"/>
      <c r="CH212" s="17"/>
      <c r="CI212" s="17"/>
      <c r="CJ212" s="17"/>
      <c r="CK212" s="3" t="s">
        <v>165</v>
      </c>
      <c r="CV212" s="346">
        <f t="shared" si="137"/>
        <v>1</v>
      </c>
    </row>
    <row r="213" spans="1:100" s="1" customFormat="1" ht="65.099999999999994" customHeight="1" x14ac:dyDescent="0.25">
      <c r="A213" s="356" t="s">
        <v>79</v>
      </c>
      <c r="B213" s="356" t="s">
        <v>80</v>
      </c>
      <c r="C213" s="356" t="s">
        <v>81</v>
      </c>
      <c r="D213" s="356" t="s">
        <v>82</v>
      </c>
      <c r="E213" s="356" t="s">
        <v>83</v>
      </c>
      <c r="F213" s="356" t="s">
        <v>84</v>
      </c>
      <c r="G213" s="356" t="s">
        <v>85</v>
      </c>
      <c r="H213" s="356" t="s">
        <v>86</v>
      </c>
      <c r="I213" s="356" t="s">
        <v>87</v>
      </c>
      <c r="J213" s="356" t="s">
        <v>88</v>
      </c>
      <c r="K213" s="357" t="s">
        <v>8</v>
      </c>
      <c r="L213" s="357" t="s">
        <v>539</v>
      </c>
      <c r="M213" s="357" t="s">
        <v>174</v>
      </c>
      <c r="N213" s="367" t="s">
        <v>91</v>
      </c>
      <c r="O213" s="367" t="s">
        <v>154</v>
      </c>
      <c r="P213" s="930">
        <v>39542136.277533107</v>
      </c>
      <c r="Q213" s="357" t="s">
        <v>543</v>
      </c>
      <c r="R213" s="357" t="s">
        <v>156</v>
      </c>
      <c r="S213" s="357">
        <v>3</v>
      </c>
      <c r="T213" s="371" t="s">
        <v>175</v>
      </c>
      <c r="U213" s="357" t="s">
        <v>176</v>
      </c>
      <c r="V213" s="357" t="s">
        <v>98</v>
      </c>
      <c r="W213" s="497" t="s">
        <v>159</v>
      </c>
      <c r="X213" s="432">
        <v>0</v>
      </c>
      <c r="Y213" s="432">
        <v>0.33</v>
      </c>
      <c r="Z213" s="432">
        <v>0.33</v>
      </c>
      <c r="AA213" s="444">
        <v>0.34</v>
      </c>
      <c r="AB213" s="525">
        <v>5</v>
      </c>
      <c r="AC213" s="413">
        <v>0.99009900990099009</v>
      </c>
      <c r="AD213" s="413">
        <v>0.27111109999999999</v>
      </c>
      <c r="AE213" s="413">
        <v>0.37727272727272726</v>
      </c>
      <c r="AF213" s="692">
        <f t="shared" si="125"/>
        <v>0</v>
      </c>
      <c r="AG213" s="693" t="s">
        <v>146</v>
      </c>
      <c r="AH213" s="718">
        <v>0</v>
      </c>
      <c r="AI213" s="722"/>
      <c r="AJ213" s="722"/>
      <c r="AK213" s="693"/>
      <c r="AL213" s="692">
        <f t="shared" si="109"/>
        <v>0</v>
      </c>
      <c r="AM213" s="697" t="s">
        <v>121</v>
      </c>
      <c r="AN213" s="693">
        <f t="shared" si="110"/>
        <v>0</v>
      </c>
      <c r="AO213" s="693">
        <f t="shared" si="111"/>
        <v>0</v>
      </c>
      <c r="AP213" s="693">
        <f t="shared" si="112"/>
        <v>0</v>
      </c>
      <c r="AQ213" s="693"/>
      <c r="AR213" s="401">
        <f t="shared" si="126"/>
        <v>0.33</v>
      </c>
      <c r="AS213" s="402" t="s">
        <v>100</v>
      </c>
      <c r="AT213" s="641">
        <v>0</v>
      </c>
      <c r="AU213" s="747"/>
      <c r="AV213" s="747"/>
      <c r="AW213" s="729" t="str">
        <f t="shared" si="113"/>
        <v>BAJO</v>
      </c>
      <c r="AX213" s="397">
        <f t="shared" si="114"/>
        <v>0</v>
      </c>
      <c r="AY213" s="399" t="s">
        <v>522</v>
      </c>
      <c r="AZ213" s="398">
        <f t="shared" si="115"/>
        <v>0</v>
      </c>
      <c r="BA213" s="398">
        <f t="shared" si="116"/>
        <v>0</v>
      </c>
      <c r="BB213" s="398">
        <f t="shared" si="117"/>
        <v>0</v>
      </c>
      <c r="BC213" s="15"/>
      <c r="BD213" s="14">
        <f t="shared" si="118"/>
        <v>0.33</v>
      </c>
      <c r="BE213" s="677" t="s">
        <v>100</v>
      </c>
      <c r="BF213" s="778">
        <v>1</v>
      </c>
      <c r="BG213" s="657" t="s">
        <v>1626</v>
      </c>
      <c r="BH213" s="785"/>
      <c r="BI213" s="658" t="str">
        <f t="shared" si="127"/>
        <v>ALTO</v>
      </c>
      <c r="BJ213" s="681">
        <f t="shared" si="119"/>
        <v>0.33</v>
      </c>
      <c r="BK213" s="647" t="s">
        <v>1627</v>
      </c>
      <c r="BL213" s="682">
        <f t="shared" si="128"/>
        <v>6.6000000000000003E-2</v>
      </c>
      <c r="BM213" s="682">
        <f t="shared" si="129"/>
        <v>0.33330000000000004</v>
      </c>
      <c r="BN213" s="682">
        <f t="shared" si="130"/>
        <v>1.2172131646398838</v>
      </c>
      <c r="BO213" s="658"/>
      <c r="BP213" s="885">
        <f t="shared" si="138"/>
        <v>0.34</v>
      </c>
      <c r="BQ213" s="854" t="s">
        <v>105</v>
      </c>
      <c r="BR213" s="855">
        <v>1</v>
      </c>
      <c r="BS213" s="874"/>
      <c r="BT213" s="872"/>
      <c r="BU213" s="905" t="str">
        <f t="shared" si="120"/>
        <v>ALTO</v>
      </c>
      <c r="BV213" s="875">
        <f t="shared" si="124"/>
        <v>0.34</v>
      </c>
      <c r="BW213" s="859" t="s">
        <v>180</v>
      </c>
      <c r="BX213" s="857">
        <f t="shared" si="131"/>
        <v>1.7000000000000002</v>
      </c>
      <c r="BY213" s="857">
        <f t="shared" si="132"/>
        <v>0.33663366336633666</v>
      </c>
      <c r="BZ213" s="857">
        <f t="shared" si="133"/>
        <v>9.2177774000000004E-2</v>
      </c>
      <c r="CA213" s="857">
        <f t="shared" si="134"/>
        <v>0.12827272727272729</v>
      </c>
      <c r="CB213" s="16">
        <f t="shared" si="135"/>
        <v>0.67</v>
      </c>
      <c r="CC213" s="16">
        <f t="shared" si="136"/>
        <v>0.33</v>
      </c>
      <c r="CD213" s="16">
        <f t="shared" si="139"/>
        <v>1</v>
      </c>
      <c r="CE213" s="16">
        <f t="shared" si="140"/>
        <v>0.67</v>
      </c>
      <c r="CF213" s="16" t="e">
        <f>SUM(#REF!/(CC213+CB213))</f>
        <v>#REF!</v>
      </c>
      <c r="CG213" s="17"/>
      <c r="CH213" s="17"/>
      <c r="CI213" s="17"/>
      <c r="CJ213" s="17"/>
      <c r="CK213" s="3" t="s">
        <v>165</v>
      </c>
      <c r="CV213" s="346">
        <f t="shared" si="137"/>
        <v>1</v>
      </c>
    </row>
    <row r="214" spans="1:100" s="1" customFormat="1" ht="65.099999999999994" customHeight="1" x14ac:dyDescent="0.25">
      <c r="A214" s="356" t="s">
        <v>79</v>
      </c>
      <c r="B214" s="356" t="s">
        <v>80</v>
      </c>
      <c r="C214" s="356" t="s">
        <v>81</v>
      </c>
      <c r="D214" s="356" t="s">
        <v>82</v>
      </c>
      <c r="E214" s="356" t="s">
        <v>83</v>
      </c>
      <c r="F214" s="356" t="s">
        <v>84</v>
      </c>
      <c r="G214" s="356" t="s">
        <v>85</v>
      </c>
      <c r="H214" s="356" t="s">
        <v>86</v>
      </c>
      <c r="I214" s="356" t="s">
        <v>87</v>
      </c>
      <c r="J214" s="356" t="s">
        <v>88</v>
      </c>
      <c r="K214" s="357" t="s">
        <v>8</v>
      </c>
      <c r="L214" s="357" t="s">
        <v>539</v>
      </c>
      <c r="M214" s="357" t="s">
        <v>181</v>
      </c>
      <c r="N214" s="367" t="s">
        <v>91</v>
      </c>
      <c r="O214" s="367" t="s">
        <v>154</v>
      </c>
      <c r="P214" s="930">
        <v>39542136.277533107</v>
      </c>
      <c r="Q214" s="357" t="s">
        <v>543</v>
      </c>
      <c r="R214" s="357" t="s">
        <v>156</v>
      </c>
      <c r="S214" s="371">
        <v>1</v>
      </c>
      <c r="T214" s="369" t="s">
        <v>182</v>
      </c>
      <c r="U214" s="357" t="s">
        <v>183</v>
      </c>
      <c r="V214" s="357" t="s">
        <v>98</v>
      </c>
      <c r="W214" s="497" t="s">
        <v>184</v>
      </c>
      <c r="X214" s="432">
        <v>0</v>
      </c>
      <c r="Y214" s="432">
        <v>0.5</v>
      </c>
      <c r="Z214" s="432">
        <v>0</v>
      </c>
      <c r="AA214" s="444">
        <v>0.5</v>
      </c>
      <c r="AB214" s="525">
        <v>5</v>
      </c>
      <c r="AC214" s="413">
        <v>0.99009900990099009</v>
      </c>
      <c r="AD214" s="413">
        <v>0.27111109999999999</v>
      </c>
      <c r="AE214" s="413">
        <v>0.37727272727272726</v>
      </c>
      <c r="AF214" s="692">
        <f t="shared" si="125"/>
        <v>0</v>
      </c>
      <c r="AG214" s="693" t="s">
        <v>146</v>
      </c>
      <c r="AH214" s="718">
        <v>0</v>
      </c>
      <c r="AI214" s="722"/>
      <c r="AJ214" s="722"/>
      <c r="AK214" s="693"/>
      <c r="AL214" s="692">
        <f t="shared" si="109"/>
        <v>0</v>
      </c>
      <c r="AM214" s="697" t="s">
        <v>121</v>
      </c>
      <c r="AN214" s="693">
        <f t="shared" si="110"/>
        <v>0</v>
      </c>
      <c r="AO214" s="693">
        <f t="shared" si="111"/>
        <v>0</v>
      </c>
      <c r="AP214" s="693">
        <f t="shared" si="112"/>
        <v>0</v>
      </c>
      <c r="AQ214" s="693"/>
      <c r="AR214" s="401">
        <f t="shared" si="126"/>
        <v>0.5</v>
      </c>
      <c r="AS214" s="402" t="s">
        <v>100</v>
      </c>
      <c r="AT214" s="641">
        <v>0</v>
      </c>
      <c r="AU214" s="747"/>
      <c r="AV214" s="747"/>
      <c r="AW214" s="729" t="str">
        <f t="shared" si="113"/>
        <v>BAJO</v>
      </c>
      <c r="AX214" s="397">
        <f t="shared" si="114"/>
        <v>0</v>
      </c>
      <c r="AY214" s="399" t="s">
        <v>522</v>
      </c>
      <c r="AZ214" s="398">
        <f t="shared" si="115"/>
        <v>0</v>
      </c>
      <c r="BA214" s="398">
        <f t="shared" si="116"/>
        <v>0</v>
      </c>
      <c r="BB214" s="398">
        <f t="shared" si="117"/>
        <v>0</v>
      </c>
      <c r="BC214" s="15"/>
      <c r="BD214" s="14">
        <f t="shared" si="118"/>
        <v>0</v>
      </c>
      <c r="BE214" s="677" t="s">
        <v>100</v>
      </c>
      <c r="BF214" s="679"/>
      <c r="BG214" s="658"/>
      <c r="BH214" s="658"/>
      <c r="BI214" s="658" t="str">
        <f t="shared" si="127"/>
        <v>BAJO</v>
      </c>
      <c r="BJ214" s="681">
        <f t="shared" si="119"/>
        <v>0</v>
      </c>
      <c r="BK214" s="647" t="s">
        <v>1628</v>
      </c>
      <c r="BL214" s="682">
        <f t="shared" si="128"/>
        <v>0</v>
      </c>
      <c r="BM214" s="682">
        <f t="shared" si="129"/>
        <v>0</v>
      </c>
      <c r="BN214" s="682">
        <f t="shared" si="130"/>
        <v>0</v>
      </c>
      <c r="BO214" s="658"/>
      <c r="BP214" s="885">
        <f t="shared" si="138"/>
        <v>0.5</v>
      </c>
      <c r="BQ214" s="854" t="s">
        <v>105</v>
      </c>
      <c r="BR214" s="871">
        <v>1</v>
      </c>
      <c r="BS214" s="874"/>
      <c r="BT214" s="872"/>
      <c r="BU214" s="905" t="str">
        <f t="shared" si="120"/>
        <v>ALTO</v>
      </c>
      <c r="BV214" s="875">
        <f t="shared" si="124"/>
        <v>0.5</v>
      </c>
      <c r="BW214" s="859" t="s">
        <v>531</v>
      </c>
      <c r="BX214" s="857">
        <f t="shared" si="131"/>
        <v>2.5</v>
      </c>
      <c r="BY214" s="857">
        <f t="shared" si="132"/>
        <v>0.49504950495049505</v>
      </c>
      <c r="BZ214" s="857">
        <f t="shared" si="133"/>
        <v>0.13555555</v>
      </c>
      <c r="CA214" s="857">
        <f t="shared" si="134"/>
        <v>0.18863636363636363</v>
      </c>
      <c r="CB214" s="16">
        <f t="shared" si="135"/>
        <v>0.5</v>
      </c>
      <c r="CC214" s="16">
        <f t="shared" si="136"/>
        <v>0.5</v>
      </c>
      <c r="CD214" s="16">
        <f t="shared" si="139"/>
        <v>1</v>
      </c>
      <c r="CE214" s="16">
        <f t="shared" si="140"/>
        <v>0.5</v>
      </c>
      <c r="CF214" s="16" t="e">
        <f>SUM(#REF!/(CC214+CB214))</f>
        <v>#REF!</v>
      </c>
      <c r="CG214" s="17"/>
      <c r="CH214" s="17"/>
      <c r="CI214" s="17"/>
      <c r="CJ214" s="17"/>
      <c r="CK214" s="3" t="s">
        <v>165</v>
      </c>
      <c r="CV214" s="346">
        <f t="shared" si="137"/>
        <v>1</v>
      </c>
    </row>
    <row r="215" spans="1:100" s="1" customFormat="1" ht="65.099999999999994" customHeight="1" x14ac:dyDescent="0.25">
      <c r="A215" s="356" t="s">
        <v>79</v>
      </c>
      <c r="B215" s="356" t="s">
        <v>80</v>
      </c>
      <c r="C215" s="356" t="s">
        <v>81</v>
      </c>
      <c r="D215" s="356" t="s">
        <v>82</v>
      </c>
      <c r="E215" s="356" t="s">
        <v>83</v>
      </c>
      <c r="F215" s="356" t="s">
        <v>84</v>
      </c>
      <c r="G215" s="356" t="s">
        <v>85</v>
      </c>
      <c r="H215" s="356" t="s">
        <v>86</v>
      </c>
      <c r="I215" s="356" t="s">
        <v>87</v>
      </c>
      <c r="J215" s="356" t="s">
        <v>152</v>
      </c>
      <c r="K215" s="357" t="s">
        <v>8</v>
      </c>
      <c r="L215" s="357" t="s">
        <v>539</v>
      </c>
      <c r="M215" s="368" t="s">
        <v>190</v>
      </c>
      <c r="N215" s="367" t="s">
        <v>91</v>
      </c>
      <c r="O215" s="367" t="s">
        <v>154</v>
      </c>
      <c r="P215" s="930">
        <v>39542136.277533107</v>
      </c>
      <c r="Q215" s="357" t="s">
        <v>543</v>
      </c>
      <c r="R215" s="357" t="s">
        <v>156</v>
      </c>
      <c r="S215" s="378">
        <v>1</v>
      </c>
      <c r="T215" s="369" t="s">
        <v>191</v>
      </c>
      <c r="U215" s="357" t="s">
        <v>158</v>
      </c>
      <c r="V215" s="357" t="s">
        <v>98</v>
      </c>
      <c r="W215" s="497" t="s">
        <v>634</v>
      </c>
      <c r="X215" s="432">
        <v>0</v>
      </c>
      <c r="Y215" s="432">
        <v>0</v>
      </c>
      <c r="Z215" s="432">
        <v>0.34</v>
      </c>
      <c r="AA215" s="444">
        <v>0.66</v>
      </c>
      <c r="AB215" s="525">
        <v>5</v>
      </c>
      <c r="AC215" s="413">
        <v>0.99009900990099009</v>
      </c>
      <c r="AD215" s="413">
        <v>0.27111109999999999</v>
      </c>
      <c r="AE215" s="413">
        <v>0.37727272727272726</v>
      </c>
      <c r="AF215" s="692">
        <f t="shared" si="125"/>
        <v>0</v>
      </c>
      <c r="AG215" s="693" t="s">
        <v>146</v>
      </c>
      <c r="AH215" s="718">
        <v>0</v>
      </c>
      <c r="AI215" s="722"/>
      <c r="AJ215" s="722"/>
      <c r="AK215" s="693"/>
      <c r="AL215" s="692">
        <f t="shared" si="109"/>
        <v>0</v>
      </c>
      <c r="AM215" s="697" t="s">
        <v>121</v>
      </c>
      <c r="AN215" s="693">
        <f t="shared" si="110"/>
        <v>0</v>
      </c>
      <c r="AO215" s="693">
        <f t="shared" si="111"/>
        <v>0</v>
      </c>
      <c r="AP215" s="693">
        <f t="shared" si="112"/>
        <v>0</v>
      </c>
      <c r="AQ215" s="693"/>
      <c r="AR215" s="401">
        <f t="shared" si="126"/>
        <v>0</v>
      </c>
      <c r="AS215" s="402" t="s">
        <v>146</v>
      </c>
      <c r="AT215" s="641">
        <v>0</v>
      </c>
      <c r="AU215" s="747"/>
      <c r="AV215" s="747"/>
      <c r="AW215" s="729"/>
      <c r="AX215" s="397">
        <f t="shared" si="114"/>
        <v>0</v>
      </c>
      <c r="AY215" s="399" t="s">
        <v>522</v>
      </c>
      <c r="AZ215" s="398">
        <f t="shared" si="115"/>
        <v>0</v>
      </c>
      <c r="BA215" s="398">
        <f t="shared" si="116"/>
        <v>0</v>
      </c>
      <c r="BB215" s="398">
        <f t="shared" si="117"/>
        <v>0</v>
      </c>
      <c r="BC215" s="15"/>
      <c r="BD215" s="14">
        <f t="shared" si="118"/>
        <v>0.34</v>
      </c>
      <c r="BE215" s="778" t="s">
        <v>100</v>
      </c>
      <c r="BF215" s="778">
        <f>1/1</f>
        <v>1</v>
      </c>
      <c r="BG215" s="785" t="s">
        <v>1629</v>
      </c>
      <c r="BH215" s="785" t="s">
        <v>1630</v>
      </c>
      <c r="BI215" s="658" t="str">
        <f t="shared" si="127"/>
        <v>ALTO</v>
      </c>
      <c r="BJ215" s="681">
        <f t="shared" si="119"/>
        <v>0.34</v>
      </c>
      <c r="BK215" s="647" t="s">
        <v>1631</v>
      </c>
      <c r="BL215" s="682">
        <f t="shared" si="128"/>
        <v>6.8000000000000005E-2</v>
      </c>
      <c r="BM215" s="682">
        <f t="shared" si="129"/>
        <v>0.34340000000000004</v>
      </c>
      <c r="BN215" s="682">
        <f t="shared" si="130"/>
        <v>1.2540984120532137</v>
      </c>
      <c r="BO215" s="658"/>
      <c r="BP215" s="885">
        <f t="shared" si="138"/>
        <v>0.66</v>
      </c>
      <c r="BQ215" s="854" t="s">
        <v>105</v>
      </c>
      <c r="BR215" s="871">
        <v>1</v>
      </c>
      <c r="BS215" s="874" t="s">
        <v>1629</v>
      </c>
      <c r="BT215" s="872" t="s">
        <v>1630</v>
      </c>
      <c r="BU215" s="905" t="str">
        <f t="shared" si="120"/>
        <v>ALTO</v>
      </c>
      <c r="BV215" s="875">
        <f t="shared" si="124"/>
        <v>0.66</v>
      </c>
      <c r="BW215" s="859" t="s">
        <v>1632</v>
      </c>
      <c r="BX215" s="857">
        <f t="shared" si="131"/>
        <v>3.3000000000000003</v>
      </c>
      <c r="BY215" s="857">
        <f t="shared" si="132"/>
        <v>0.65346534653465349</v>
      </c>
      <c r="BZ215" s="857">
        <f t="shared" si="133"/>
        <v>0.178933326</v>
      </c>
      <c r="CA215" s="857">
        <f t="shared" si="134"/>
        <v>0.249</v>
      </c>
      <c r="CB215" s="16">
        <f t="shared" si="135"/>
        <v>1</v>
      </c>
      <c r="CC215" s="16">
        <f t="shared" si="136"/>
        <v>0</v>
      </c>
      <c r="CD215" s="16">
        <f t="shared" si="139"/>
        <v>1</v>
      </c>
      <c r="CE215" s="16">
        <f t="shared" si="140"/>
        <v>1</v>
      </c>
      <c r="CF215" s="16" t="e">
        <f>SUM(#REF!/(CC215+CB215))</f>
        <v>#REF!</v>
      </c>
      <c r="CG215" s="17"/>
      <c r="CH215" s="17"/>
      <c r="CI215" s="17"/>
      <c r="CJ215" s="17"/>
      <c r="CK215" s="3" t="s">
        <v>165</v>
      </c>
      <c r="CV215" s="346">
        <f t="shared" si="137"/>
        <v>1</v>
      </c>
    </row>
    <row r="216" spans="1:100" s="1" customFormat="1" ht="65.099999999999994" customHeight="1" x14ac:dyDescent="0.25">
      <c r="A216" s="356" t="s">
        <v>79</v>
      </c>
      <c r="B216" s="356" t="s">
        <v>80</v>
      </c>
      <c r="C216" s="356" t="s">
        <v>81</v>
      </c>
      <c r="D216" s="356" t="s">
        <v>82</v>
      </c>
      <c r="E216" s="356" t="s">
        <v>83</v>
      </c>
      <c r="F216" s="356" t="s">
        <v>84</v>
      </c>
      <c r="G216" s="356" t="s">
        <v>85</v>
      </c>
      <c r="H216" s="356" t="s">
        <v>86</v>
      </c>
      <c r="I216" s="356" t="s">
        <v>87</v>
      </c>
      <c r="J216" s="356" t="s">
        <v>152</v>
      </c>
      <c r="K216" s="357" t="s">
        <v>8</v>
      </c>
      <c r="L216" s="357" t="s">
        <v>539</v>
      </c>
      <c r="M216" s="357" t="s">
        <v>195</v>
      </c>
      <c r="N216" s="367" t="s">
        <v>91</v>
      </c>
      <c r="O216" s="367" t="s">
        <v>154</v>
      </c>
      <c r="P216" s="930">
        <v>39542136.277533107</v>
      </c>
      <c r="Q216" s="357" t="s">
        <v>543</v>
      </c>
      <c r="R216" s="357" t="s">
        <v>156</v>
      </c>
      <c r="S216" s="357">
        <v>7</v>
      </c>
      <c r="T216" s="369" t="s">
        <v>196</v>
      </c>
      <c r="U216" s="357" t="s">
        <v>158</v>
      </c>
      <c r="V216" s="370" t="s">
        <v>98</v>
      </c>
      <c r="W216" s="497" t="s">
        <v>197</v>
      </c>
      <c r="X216" s="432">
        <v>0</v>
      </c>
      <c r="Y216" s="432">
        <f>1/7</f>
        <v>0.14285714285714285</v>
      </c>
      <c r="Z216" s="432">
        <f>3/7</f>
        <v>0.42857142857142855</v>
      </c>
      <c r="AA216" s="444">
        <f>3/7</f>
        <v>0.42857142857142855</v>
      </c>
      <c r="AB216" s="525">
        <v>5</v>
      </c>
      <c r="AC216" s="413">
        <v>0.99009900990099009</v>
      </c>
      <c r="AD216" s="413">
        <v>0.27111109999999999</v>
      </c>
      <c r="AE216" s="413">
        <v>0.37727272727272726</v>
      </c>
      <c r="AF216" s="692">
        <f t="shared" si="125"/>
        <v>0</v>
      </c>
      <c r="AG216" s="693" t="s">
        <v>146</v>
      </c>
      <c r="AH216" s="718">
        <v>0</v>
      </c>
      <c r="AI216" s="722"/>
      <c r="AJ216" s="722"/>
      <c r="AK216" s="693"/>
      <c r="AL216" s="692">
        <f t="shared" si="109"/>
        <v>0</v>
      </c>
      <c r="AM216" s="697" t="s">
        <v>121</v>
      </c>
      <c r="AN216" s="693">
        <f t="shared" si="110"/>
        <v>0</v>
      </c>
      <c r="AO216" s="693">
        <f t="shared" si="111"/>
        <v>0</v>
      </c>
      <c r="AP216" s="693">
        <f t="shared" si="112"/>
        <v>0</v>
      </c>
      <c r="AQ216" s="693"/>
      <c r="AR216" s="401">
        <f t="shared" si="126"/>
        <v>0.14285714285714285</v>
      </c>
      <c r="AS216" s="402" t="s">
        <v>100</v>
      </c>
      <c r="AT216" s="641">
        <v>0</v>
      </c>
      <c r="AU216" s="747"/>
      <c r="AV216" s="747"/>
      <c r="AW216" s="729" t="str">
        <f t="shared" si="113"/>
        <v>BAJO</v>
      </c>
      <c r="AX216" s="397">
        <f t="shared" si="114"/>
        <v>0</v>
      </c>
      <c r="AY216" s="399" t="s">
        <v>522</v>
      </c>
      <c r="AZ216" s="398">
        <f t="shared" si="115"/>
        <v>0</v>
      </c>
      <c r="BA216" s="398">
        <f t="shared" si="116"/>
        <v>0</v>
      </c>
      <c r="BB216" s="398">
        <f t="shared" si="117"/>
        <v>0</v>
      </c>
      <c r="BC216" s="15"/>
      <c r="BD216" s="14">
        <f t="shared" si="118"/>
        <v>0.42857142857142855</v>
      </c>
      <c r="BE216" s="778" t="s">
        <v>100</v>
      </c>
      <c r="BF216" s="679">
        <v>0</v>
      </c>
      <c r="BG216" s="658"/>
      <c r="BH216" s="658"/>
      <c r="BI216" s="658" t="str">
        <f t="shared" si="127"/>
        <v>BAJO</v>
      </c>
      <c r="BJ216" s="681">
        <f t="shared" si="119"/>
        <v>0</v>
      </c>
      <c r="BK216" s="647" t="s">
        <v>1633</v>
      </c>
      <c r="BL216" s="682">
        <f t="shared" si="128"/>
        <v>0</v>
      </c>
      <c r="BM216" s="682">
        <f t="shared" si="129"/>
        <v>0</v>
      </c>
      <c r="BN216" s="682">
        <f t="shared" si="130"/>
        <v>0</v>
      </c>
      <c r="BO216" s="658"/>
      <c r="BP216" s="885">
        <f t="shared" si="138"/>
        <v>0.42857142857142855</v>
      </c>
      <c r="BQ216" s="854" t="s">
        <v>105</v>
      </c>
      <c r="BR216" s="871">
        <v>0</v>
      </c>
      <c r="BS216" s="874"/>
      <c r="BT216" s="872"/>
      <c r="BU216" s="907" t="str">
        <f t="shared" si="120"/>
        <v>BAJO</v>
      </c>
      <c r="BV216" s="875">
        <f t="shared" si="124"/>
        <v>0</v>
      </c>
      <c r="BW216" s="859" t="s">
        <v>1634</v>
      </c>
      <c r="BX216" s="857">
        <f t="shared" si="131"/>
        <v>0</v>
      </c>
      <c r="BY216" s="857">
        <f t="shared" si="132"/>
        <v>0</v>
      </c>
      <c r="BZ216" s="857">
        <f t="shared" si="133"/>
        <v>0</v>
      </c>
      <c r="CA216" s="857">
        <f t="shared" si="134"/>
        <v>0</v>
      </c>
      <c r="CB216" s="16">
        <f t="shared" si="135"/>
        <v>0.8571428571428571</v>
      </c>
      <c r="CC216" s="16">
        <f t="shared" si="136"/>
        <v>0.14285714285714285</v>
      </c>
      <c r="CD216" s="16">
        <f t="shared" si="139"/>
        <v>1</v>
      </c>
      <c r="CE216" s="16">
        <f t="shared" si="140"/>
        <v>0</v>
      </c>
      <c r="CF216" s="16" t="e">
        <f>SUM(#REF!/(CC216+CB216))</f>
        <v>#REF!</v>
      </c>
      <c r="CG216" s="17"/>
      <c r="CH216" s="17"/>
      <c r="CI216" s="17"/>
      <c r="CJ216" s="17"/>
      <c r="CK216" s="3" t="s">
        <v>165</v>
      </c>
      <c r="CV216" s="346">
        <f t="shared" si="137"/>
        <v>1</v>
      </c>
    </row>
    <row r="217" spans="1:100" s="1" customFormat="1" ht="65.099999999999994" customHeight="1" x14ac:dyDescent="0.25">
      <c r="A217" s="356" t="s">
        <v>79</v>
      </c>
      <c r="B217" s="356" t="s">
        <v>80</v>
      </c>
      <c r="C217" s="356" t="s">
        <v>81</v>
      </c>
      <c r="D217" s="356" t="s">
        <v>82</v>
      </c>
      <c r="E217" s="356" t="s">
        <v>83</v>
      </c>
      <c r="F217" s="356" t="s">
        <v>84</v>
      </c>
      <c r="G217" s="356" t="s">
        <v>85</v>
      </c>
      <c r="H217" s="356" t="s">
        <v>86</v>
      </c>
      <c r="I217" s="356" t="s">
        <v>87</v>
      </c>
      <c r="J217" s="356" t="s">
        <v>152</v>
      </c>
      <c r="K217" s="357" t="s">
        <v>8</v>
      </c>
      <c r="L217" s="357" t="s">
        <v>539</v>
      </c>
      <c r="M217" s="357" t="s">
        <v>201</v>
      </c>
      <c r="N217" s="367" t="s">
        <v>91</v>
      </c>
      <c r="O217" s="367" t="s">
        <v>202</v>
      </c>
      <c r="P217" s="930">
        <v>39542136.277533107</v>
      </c>
      <c r="Q217" s="357" t="s">
        <v>543</v>
      </c>
      <c r="R217" s="357" t="s">
        <v>156</v>
      </c>
      <c r="S217" s="378">
        <v>1</v>
      </c>
      <c r="T217" s="369" t="s">
        <v>203</v>
      </c>
      <c r="U217" s="357" t="s">
        <v>204</v>
      </c>
      <c r="V217" s="357" t="s">
        <v>98</v>
      </c>
      <c r="W217" s="497" t="s">
        <v>205</v>
      </c>
      <c r="X217" s="432">
        <v>0</v>
      </c>
      <c r="Y217" s="432">
        <v>0</v>
      </c>
      <c r="Z217" s="432">
        <v>0</v>
      </c>
      <c r="AA217" s="444">
        <v>1</v>
      </c>
      <c r="AB217" s="525">
        <v>5</v>
      </c>
      <c r="AC217" s="413">
        <v>0.99009900990099009</v>
      </c>
      <c r="AD217" s="413">
        <v>0.27111109999999999</v>
      </c>
      <c r="AE217" s="413">
        <v>0.37727272727272726</v>
      </c>
      <c r="AF217" s="692">
        <f t="shared" si="125"/>
        <v>0</v>
      </c>
      <c r="AG217" s="693" t="s">
        <v>146</v>
      </c>
      <c r="AH217" s="718">
        <v>0</v>
      </c>
      <c r="AI217" s="722"/>
      <c r="AJ217" s="722"/>
      <c r="AK217" s="693"/>
      <c r="AL217" s="692">
        <f t="shared" si="109"/>
        <v>0</v>
      </c>
      <c r="AM217" s="697" t="s">
        <v>121</v>
      </c>
      <c r="AN217" s="693">
        <f t="shared" si="110"/>
        <v>0</v>
      </c>
      <c r="AO217" s="693">
        <f t="shared" si="111"/>
        <v>0</v>
      </c>
      <c r="AP217" s="693">
        <f t="shared" si="112"/>
        <v>0</v>
      </c>
      <c r="AQ217" s="693"/>
      <c r="AR217" s="401">
        <f t="shared" si="126"/>
        <v>0</v>
      </c>
      <c r="AS217" s="402" t="s">
        <v>146</v>
      </c>
      <c r="AT217" s="641">
        <v>0</v>
      </c>
      <c r="AU217" s="747"/>
      <c r="AV217" s="747"/>
      <c r="AW217" s="729"/>
      <c r="AX217" s="397">
        <f t="shared" si="114"/>
        <v>0</v>
      </c>
      <c r="AY217" s="399" t="s">
        <v>522</v>
      </c>
      <c r="AZ217" s="398">
        <f t="shared" si="115"/>
        <v>0</v>
      </c>
      <c r="BA217" s="398">
        <f t="shared" si="116"/>
        <v>0</v>
      </c>
      <c r="BB217" s="398">
        <f t="shared" si="117"/>
        <v>0</v>
      </c>
      <c r="BC217" s="15"/>
      <c r="BD217" s="14">
        <f t="shared" si="118"/>
        <v>0</v>
      </c>
      <c r="BE217" s="677" t="s">
        <v>146</v>
      </c>
      <c r="BF217" s="679"/>
      <c r="BG217" s="658"/>
      <c r="BH217" s="658"/>
      <c r="BI217" s="658" t="str">
        <f t="shared" si="127"/>
        <v>BAJO</v>
      </c>
      <c r="BJ217" s="681">
        <f t="shared" si="119"/>
        <v>0</v>
      </c>
      <c r="BK217" s="658" t="s">
        <v>355</v>
      </c>
      <c r="BL217" s="682">
        <f t="shared" si="128"/>
        <v>0</v>
      </c>
      <c r="BM217" s="682">
        <f t="shared" si="129"/>
        <v>0</v>
      </c>
      <c r="BN217" s="682">
        <f t="shared" si="130"/>
        <v>0</v>
      </c>
      <c r="BO217" s="658"/>
      <c r="BP217" s="885">
        <f t="shared" si="138"/>
        <v>1</v>
      </c>
      <c r="BQ217" s="854" t="s">
        <v>105</v>
      </c>
      <c r="BR217" s="871">
        <v>0</v>
      </c>
      <c r="BS217" s="874"/>
      <c r="BT217" s="872"/>
      <c r="BU217" s="907" t="str">
        <f t="shared" si="120"/>
        <v>BAJO</v>
      </c>
      <c r="BV217" s="875">
        <f t="shared" si="124"/>
        <v>0</v>
      </c>
      <c r="BW217" s="859" t="s">
        <v>993</v>
      </c>
      <c r="BX217" s="857">
        <f t="shared" si="131"/>
        <v>0</v>
      </c>
      <c r="BY217" s="857">
        <f t="shared" si="132"/>
        <v>0</v>
      </c>
      <c r="BZ217" s="857">
        <f t="shared" si="133"/>
        <v>0</v>
      </c>
      <c r="CA217" s="857">
        <f t="shared" si="134"/>
        <v>0</v>
      </c>
      <c r="CB217" s="16">
        <f t="shared" si="135"/>
        <v>1</v>
      </c>
      <c r="CC217" s="16">
        <f t="shared" si="136"/>
        <v>0</v>
      </c>
      <c r="CD217" s="16">
        <f t="shared" si="139"/>
        <v>1</v>
      </c>
      <c r="CE217" s="16">
        <f t="shared" si="140"/>
        <v>0</v>
      </c>
      <c r="CF217" s="16" t="e">
        <f>SUM(#REF!/(CC217+CB217))</f>
        <v>#REF!</v>
      </c>
      <c r="CG217" s="17"/>
      <c r="CH217" s="17"/>
      <c r="CI217" s="17"/>
      <c r="CJ217" s="17"/>
      <c r="CK217" s="3" t="s">
        <v>165</v>
      </c>
      <c r="CV217" s="346">
        <f t="shared" si="137"/>
        <v>1</v>
      </c>
    </row>
    <row r="218" spans="1:100" s="1" customFormat="1" ht="65.099999999999994" customHeight="1" x14ac:dyDescent="0.25">
      <c r="A218" s="354" t="s">
        <v>79</v>
      </c>
      <c r="B218" s="354" t="s">
        <v>80</v>
      </c>
      <c r="C218" s="354" t="s">
        <v>81</v>
      </c>
      <c r="D218" s="354" t="s">
        <v>82</v>
      </c>
      <c r="E218" s="354" t="s">
        <v>83</v>
      </c>
      <c r="F218" s="354" t="s">
        <v>84</v>
      </c>
      <c r="G218" s="354" t="s">
        <v>85</v>
      </c>
      <c r="H218" s="354" t="s">
        <v>86</v>
      </c>
      <c r="I218" s="354" t="s">
        <v>87</v>
      </c>
      <c r="J218" s="354" t="s">
        <v>152</v>
      </c>
      <c r="K218" s="348" t="s">
        <v>9</v>
      </c>
      <c r="L218" s="348" t="s">
        <v>539</v>
      </c>
      <c r="M218" s="686" t="s">
        <v>1635</v>
      </c>
      <c r="N218" s="361" t="s">
        <v>541</v>
      </c>
      <c r="O218" s="361" t="s">
        <v>1636</v>
      </c>
      <c r="P218" s="922">
        <v>39542136.277533107</v>
      </c>
      <c r="Q218" s="393" t="s">
        <v>543</v>
      </c>
      <c r="R218" s="348" t="s">
        <v>213</v>
      </c>
      <c r="S218" s="384">
        <v>2</v>
      </c>
      <c r="T218" s="355" t="s">
        <v>1637</v>
      </c>
      <c r="U218" s="355" t="s">
        <v>1638</v>
      </c>
      <c r="V218" s="348" t="s">
        <v>119</v>
      </c>
      <c r="W218" s="355" t="s">
        <v>1639</v>
      </c>
      <c r="X218" s="430">
        <v>0</v>
      </c>
      <c r="Y218" s="430">
        <v>0.5</v>
      </c>
      <c r="Z218" s="430">
        <v>0</v>
      </c>
      <c r="AA218" s="431">
        <v>0.5</v>
      </c>
      <c r="AB218" s="525">
        <v>8.34</v>
      </c>
      <c r="AC218" s="413">
        <v>0.99009900990099009</v>
      </c>
      <c r="AD218" s="413">
        <v>0.45185183333333329</v>
      </c>
      <c r="AE218" s="413">
        <v>0.37727272727272726</v>
      </c>
      <c r="AF218" s="692">
        <f t="shared" si="125"/>
        <v>0</v>
      </c>
      <c r="AG218" s="693" t="s">
        <v>146</v>
      </c>
      <c r="AH218" s="698">
        <v>0</v>
      </c>
      <c r="AI218" s="723"/>
      <c r="AJ218" s="723"/>
      <c r="AK218" s="693"/>
      <c r="AL218" s="692">
        <f t="shared" si="109"/>
        <v>0</v>
      </c>
      <c r="AM218" s="697" t="s">
        <v>121</v>
      </c>
      <c r="AN218" s="693">
        <f t="shared" si="110"/>
        <v>0</v>
      </c>
      <c r="AO218" s="693">
        <f t="shared" si="111"/>
        <v>0</v>
      </c>
      <c r="AP218" s="693">
        <f t="shared" si="112"/>
        <v>0</v>
      </c>
      <c r="AQ218" s="693"/>
      <c r="AR218" s="401">
        <f t="shared" si="126"/>
        <v>0.5</v>
      </c>
      <c r="AS218" s="402" t="s">
        <v>100</v>
      </c>
      <c r="AT218" s="641">
        <f>1/1</f>
        <v>1</v>
      </c>
      <c r="AU218" s="749" t="s">
        <v>1640</v>
      </c>
      <c r="AV218" s="631" t="s">
        <v>1641</v>
      </c>
      <c r="AW218" s="729" t="str">
        <f t="shared" si="113"/>
        <v>ALTO</v>
      </c>
      <c r="AX218" s="397">
        <f t="shared" si="114"/>
        <v>0.5</v>
      </c>
      <c r="AY218" s="626" t="s">
        <v>102</v>
      </c>
      <c r="AZ218" s="398">
        <f t="shared" si="115"/>
        <v>4.17</v>
      </c>
      <c r="BA218" s="398">
        <f t="shared" si="116"/>
        <v>0.49504950495049505</v>
      </c>
      <c r="BB218" s="398">
        <f t="shared" si="117"/>
        <v>0.22592591666666664</v>
      </c>
      <c r="BC218" s="15"/>
      <c r="BD218" s="14">
        <f t="shared" si="118"/>
        <v>0</v>
      </c>
      <c r="BE218" s="677" t="s">
        <v>100</v>
      </c>
      <c r="BF218" s="681">
        <v>0</v>
      </c>
      <c r="BG218" s="658"/>
      <c r="BH218" s="658"/>
      <c r="BI218" s="658" t="str">
        <f t="shared" si="127"/>
        <v>BAJO</v>
      </c>
      <c r="BJ218" s="681">
        <f t="shared" si="119"/>
        <v>0</v>
      </c>
      <c r="BK218" s="647" t="s">
        <v>1642</v>
      </c>
      <c r="BL218" s="682">
        <f t="shared" si="128"/>
        <v>0</v>
      </c>
      <c r="BM218" s="682">
        <f t="shared" si="129"/>
        <v>0</v>
      </c>
      <c r="BN218" s="682">
        <f t="shared" si="130"/>
        <v>0</v>
      </c>
      <c r="BO218" s="658"/>
      <c r="BP218" s="853">
        <f t="shared" si="138"/>
        <v>0.5</v>
      </c>
      <c r="BQ218" s="854" t="s">
        <v>105</v>
      </c>
      <c r="BR218" s="875">
        <f>30/100</f>
        <v>0.3</v>
      </c>
      <c r="BS218" s="858" t="s">
        <v>1643</v>
      </c>
      <c r="BT218" s="857"/>
      <c r="BU218" s="907" t="str">
        <f t="shared" si="120"/>
        <v>BAJO</v>
      </c>
      <c r="BV218" s="875">
        <f t="shared" si="124"/>
        <v>0.15</v>
      </c>
      <c r="BW218" s="859" t="s">
        <v>1644</v>
      </c>
      <c r="BX218" s="857">
        <f t="shared" si="131"/>
        <v>1.2509999999999999</v>
      </c>
      <c r="BY218" s="857">
        <f t="shared" si="132"/>
        <v>0.14851485148514851</v>
      </c>
      <c r="BZ218" s="857">
        <f t="shared" si="133"/>
        <v>6.7777774999999985E-2</v>
      </c>
      <c r="CA218" s="857">
        <f t="shared" si="134"/>
        <v>5.6590909090909088E-2</v>
      </c>
      <c r="CB218" s="16">
        <f t="shared" si="135"/>
        <v>0.5</v>
      </c>
      <c r="CC218" s="16">
        <f t="shared" si="136"/>
        <v>0.5</v>
      </c>
      <c r="CD218" s="16">
        <f t="shared" si="139"/>
        <v>1</v>
      </c>
      <c r="CE218" s="16">
        <f t="shared" si="140"/>
        <v>0.65</v>
      </c>
      <c r="CF218" s="16" t="e">
        <f>SUM(#REF!/(CC218+CB218))</f>
        <v>#REF!</v>
      </c>
      <c r="CG218" s="17"/>
      <c r="CH218" s="17"/>
      <c r="CI218" s="17"/>
      <c r="CJ218" s="17"/>
      <c r="CV218" s="346">
        <f t="shared" si="137"/>
        <v>1</v>
      </c>
    </row>
    <row r="219" spans="1:100" s="1" customFormat="1" ht="108" customHeight="1" x14ac:dyDescent="0.25">
      <c r="A219" s="354" t="s">
        <v>79</v>
      </c>
      <c r="B219" s="354" t="s">
        <v>80</v>
      </c>
      <c r="C219" s="354" t="s">
        <v>81</v>
      </c>
      <c r="D219" s="354" t="s">
        <v>82</v>
      </c>
      <c r="E219" s="354" t="s">
        <v>83</v>
      </c>
      <c r="F219" s="354" t="s">
        <v>84</v>
      </c>
      <c r="G219" s="354" t="s">
        <v>85</v>
      </c>
      <c r="H219" s="354" t="s">
        <v>86</v>
      </c>
      <c r="I219" s="354" t="s">
        <v>87</v>
      </c>
      <c r="J219" s="354" t="s">
        <v>152</v>
      </c>
      <c r="K219" s="348" t="s">
        <v>9</v>
      </c>
      <c r="L219" s="348" t="s">
        <v>539</v>
      </c>
      <c r="M219" s="686" t="s">
        <v>1645</v>
      </c>
      <c r="N219" s="361" t="s">
        <v>541</v>
      </c>
      <c r="O219" s="361" t="s">
        <v>1636</v>
      </c>
      <c r="P219" s="922">
        <v>39542136.277533107</v>
      </c>
      <c r="Q219" s="393" t="s">
        <v>543</v>
      </c>
      <c r="R219" s="348" t="s">
        <v>213</v>
      </c>
      <c r="S219" s="384">
        <v>12</v>
      </c>
      <c r="T219" s="355" t="s">
        <v>1646</v>
      </c>
      <c r="U219" s="355" t="s">
        <v>1647</v>
      </c>
      <c r="V219" s="348" t="s">
        <v>119</v>
      </c>
      <c r="W219" s="355" t="s">
        <v>1648</v>
      </c>
      <c r="X219" s="430">
        <v>0.25</v>
      </c>
      <c r="Y219" s="430">
        <v>0.25</v>
      </c>
      <c r="Z219" s="430">
        <v>0.25</v>
      </c>
      <c r="AA219" s="431">
        <v>0.25</v>
      </c>
      <c r="AB219" s="525">
        <v>8.34</v>
      </c>
      <c r="AC219" s="413">
        <v>0.99009900990099009</v>
      </c>
      <c r="AD219" s="413">
        <v>0.45185183333333329</v>
      </c>
      <c r="AE219" s="413">
        <v>0.37727272727272726</v>
      </c>
      <c r="AF219" s="692">
        <f t="shared" si="125"/>
        <v>0.25</v>
      </c>
      <c r="AG219" s="693" t="s">
        <v>100</v>
      </c>
      <c r="AH219" s="698">
        <v>0</v>
      </c>
      <c r="AI219" s="723"/>
      <c r="AJ219" s="723"/>
      <c r="AK219" s="693" t="str">
        <f>+IF(AND(AH219&gt;=0%,AH219&lt;=60%),"BAJO",IF(AND(AH219&gt;=61%,AH219&lt;=80%),"MEDIO","ALTO"))</f>
        <v>BAJO</v>
      </c>
      <c r="AL219" s="692">
        <f t="shared" si="109"/>
        <v>0</v>
      </c>
      <c r="AM219" s="697" t="s">
        <v>522</v>
      </c>
      <c r="AN219" s="693">
        <f t="shared" si="110"/>
        <v>0</v>
      </c>
      <c r="AO219" s="693">
        <f t="shared" si="111"/>
        <v>0</v>
      </c>
      <c r="AP219" s="693">
        <f t="shared" si="112"/>
        <v>0</v>
      </c>
      <c r="AQ219" s="693"/>
      <c r="AR219" s="401">
        <f t="shared" si="126"/>
        <v>0.25</v>
      </c>
      <c r="AS219" s="402" t="s">
        <v>100</v>
      </c>
      <c r="AT219" s="641">
        <f>1/3</f>
        <v>0.33333333333333331</v>
      </c>
      <c r="AU219" s="749" t="s">
        <v>1649</v>
      </c>
      <c r="AV219" s="631" t="s">
        <v>1650</v>
      </c>
      <c r="AW219" s="729" t="str">
        <f t="shared" si="113"/>
        <v>BAJO</v>
      </c>
      <c r="AX219" s="397">
        <f t="shared" si="114"/>
        <v>8.3333333333333329E-2</v>
      </c>
      <c r="AY219" s="626" t="s">
        <v>1651</v>
      </c>
      <c r="AZ219" s="398">
        <f t="shared" si="115"/>
        <v>0.69499999999999995</v>
      </c>
      <c r="BA219" s="398">
        <f t="shared" si="116"/>
        <v>8.2508250825082508E-2</v>
      </c>
      <c r="BB219" s="398">
        <f t="shared" si="117"/>
        <v>3.7654319444444438E-2</v>
      </c>
      <c r="BC219" s="15"/>
      <c r="BD219" s="14">
        <f t="shared" si="118"/>
        <v>0.25</v>
      </c>
      <c r="BE219" s="677" t="s">
        <v>100</v>
      </c>
      <c r="BF219" s="681">
        <v>0</v>
      </c>
      <c r="BG219" s="658"/>
      <c r="BH219" s="658"/>
      <c r="BI219" s="658" t="str">
        <f t="shared" si="127"/>
        <v>BAJO</v>
      </c>
      <c r="BJ219" s="681">
        <f t="shared" si="119"/>
        <v>0</v>
      </c>
      <c r="BK219" s="647" t="s">
        <v>1642</v>
      </c>
      <c r="BL219" s="682">
        <f t="shared" si="128"/>
        <v>0</v>
      </c>
      <c r="BM219" s="682">
        <f t="shared" si="129"/>
        <v>0</v>
      </c>
      <c r="BN219" s="682">
        <f t="shared" si="130"/>
        <v>0</v>
      </c>
      <c r="BO219" s="658"/>
      <c r="BP219" s="853">
        <f t="shared" si="138"/>
        <v>0.25</v>
      </c>
      <c r="BQ219" s="854" t="s">
        <v>105</v>
      </c>
      <c r="BR219" s="875">
        <f>60/100</f>
        <v>0.6</v>
      </c>
      <c r="BS219" s="858" t="s">
        <v>1652</v>
      </c>
      <c r="BT219" s="857"/>
      <c r="BU219" s="907" t="str">
        <f t="shared" si="120"/>
        <v>BAJO</v>
      </c>
      <c r="BV219" s="875">
        <f t="shared" si="124"/>
        <v>0.15</v>
      </c>
      <c r="BW219" s="859" t="s">
        <v>1653</v>
      </c>
      <c r="BX219" s="857">
        <f t="shared" si="131"/>
        <v>1.2509999999999999</v>
      </c>
      <c r="BY219" s="857">
        <f t="shared" si="132"/>
        <v>0.14851485148514851</v>
      </c>
      <c r="BZ219" s="857">
        <f t="shared" si="133"/>
        <v>6.7777774999999985E-2</v>
      </c>
      <c r="CA219" s="857">
        <f t="shared" si="134"/>
        <v>5.6590909090909088E-2</v>
      </c>
      <c r="CB219" s="16">
        <f t="shared" si="135"/>
        <v>0.5</v>
      </c>
      <c r="CC219" s="16">
        <f t="shared" si="136"/>
        <v>0.5</v>
      </c>
      <c r="CD219" s="16">
        <f t="shared" si="139"/>
        <v>1</v>
      </c>
      <c r="CE219" s="16">
        <f t="shared" si="140"/>
        <v>0.23333333333333334</v>
      </c>
      <c r="CF219" s="16" t="e">
        <f>SUM(#REF!/(CC219+CB219))</f>
        <v>#REF!</v>
      </c>
      <c r="CG219" s="17"/>
      <c r="CH219" s="17"/>
      <c r="CI219" s="17"/>
      <c r="CJ219" s="17"/>
      <c r="CV219" s="346">
        <f t="shared" si="137"/>
        <v>1</v>
      </c>
    </row>
    <row r="220" spans="1:100" s="1" customFormat="1" ht="141" customHeight="1" x14ac:dyDescent="0.25">
      <c r="A220" s="354" t="s">
        <v>79</v>
      </c>
      <c r="B220" s="354" t="s">
        <v>80</v>
      </c>
      <c r="C220" s="354" t="s">
        <v>81</v>
      </c>
      <c r="D220" s="354" t="s">
        <v>82</v>
      </c>
      <c r="E220" s="354" t="s">
        <v>83</v>
      </c>
      <c r="F220" s="354" t="s">
        <v>84</v>
      </c>
      <c r="G220" s="354" t="s">
        <v>85</v>
      </c>
      <c r="H220" s="354" t="s">
        <v>86</v>
      </c>
      <c r="I220" s="354" t="s">
        <v>87</v>
      </c>
      <c r="J220" s="354" t="s">
        <v>152</v>
      </c>
      <c r="K220" s="348" t="s">
        <v>9</v>
      </c>
      <c r="L220" s="348" t="s">
        <v>539</v>
      </c>
      <c r="M220" s="686" t="s">
        <v>1654</v>
      </c>
      <c r="N220" s="361" t="s">
        <v>541</v>
      </c>
      <c r="O220" s="361" t="s">
        <v>1636</v>
      </c>
      <c r="P220" s="922">
        <v>39542136.277533107</v>
      </c>
      <c r="Q220" s="393" t="s">
        <v>543</v>
      </c>
      <c r="R220" s="348" t="s">
        <v>213</v>
      </c>
      <c r="S220" s="384">
        <v>100</v>
      </c>
      <c r="T220" s="355" t="s">
        <v>1655</v>
      </c>
      <c r="U220" s="355" t="s">
        <v>1656</v>
      </c>
      <c r="V220" s="348" t="s">
        <v>98</v>
      </c>
      <c r="W220" s="355" t="s">
        <v>1657</v>
      </c>
      <c r="X220" s="430">
        <v>0.25</v>
      </c>
      <c r="Y220" s="430">
        <v>0.25</v>
      </c>
      <c r="Z220" s="430">
        <v>0.25</v>
      </c>
      <c r="AA220" s="431">
        <v>0.25</v>
      </c>
      <c r="AB220" s="525">
        <v>8.34</v>
      </c>
      <c r="AC220" s="413">
        <v>0.99009900990099009</v>
      </c>
      <c r="AD220" s="413">
        <v>0.45185183333333329</v>
      </c>
      <c r="AE220" s="413">
        <v>0.37727272727272726</v>
      </c>
      <c r="AF220" s="692">
        <f t="shared" si="125"/>
        <v>0.25</v>
      </c>
      <c r="AG220" s="693" t="s">
        <v>100</v>
      </c>
      <c r="AH220" s="698">
        <v>0</v>
      </c>
      <c r="AI220" s="723"/>
      <c r="AJ220" s="723"/>
      <c r="AK220" s="693" t="str">
        <f>+IF(AND(AH220&gt;=0%,AH220&lt;=60%),"BAJO",IF(AND(AH220&gt;=61%,AH220&lt;=80%),"MEDIO","ALTO"))</f>
        <v>BAJO</v>
      </c>
      <c r="AL220" s="692">
        <f t="shared" si="109"/>
        <v>0</v>
      </c>
      <c r="AM220" s="697" t="s">
        <v>522</v>
      </c>
      <c r="AN220" s="693">
        <f t="shared" si="110"/>
        <v>0</v>
      </c>
      <c r="AO220" s="693">
        <f t="shared" si="111"/>
        <v>0</v>
      </c>
      <c r="AP220" s="693">
        <f t="shared" si="112"/>
        <v>0</v>
      </c>
      <c r="AQ220" s="693"/>
      <c r="AR220" s="401">
        <f t="shared" si="126"/>
        <v>0.25</v>
      </c>
      <c r="AS220" s="402" t="s">
        <v>100</v>
      </c>
      <c r="AT220" s="641">
        <f>2/2</f>
        <v>1</v>
      </c>
      <c r="AU220" s="631" t="s">
        <v>1658</v>
      </c>
      <c r="AV220" s="631" t="s">
        <v>1641</v>
      </c>
      <c r="AW220" s="729" t="str">
        <f t="shared" si="113"/>
        <v>ALTO</v>
      </c>
      <c r="AX220" s="397">
        <f t="shared" si="114"/>
        <v>0.25</v>
      </c>
      <c r="AY220" s="626" t="s">
        <v>102</v>
      </c>
      <c r="AZ220" s="398">
        <f t="shared" si="115"/>
        <v>2.085</v>
      </c>
      <c r="BA220" s="398">
        <f t="shared" si="116"/>
        <v>0.24752475247524752</v>
      </c>
      <c r="BB220" s="398">
        <f t="shared" si="117"/>
        <v>0.11296295833333332</v>
      </c>
      <c r="BC220" s="15"/>
      <c r="BD220" s="14">
        <f t="shared" si="118"/>
        <v>0.25</v>
      </c>
      <c r="BE220" s="677" t="s">
        <v>100</v>
      </c>
      <c r="BF220" s="681">
        <v>0</v>
      </c>
      <c r="BG220" s="658"/>
      <c r="BH220" s="658"/>
      <c r="BI220" s="658" t="str">
        <f t="shared" si="127"/>
        <v>BAJO</v>
      </c>
      <c r="BJ220" s="681">
        <f t="shared" si="119"/>
        <v>0</v>
      </c>
      <c r="BK220" s="647" t="s">
        <v>1642</v>
      </c>
      <c r="BL220" s="682">
        <f t="shared" si="128"/>
        <v>0</v>
      </c>
      <c r="BM220" s="682">
        <f t="shared" si="129"/>
        <v>0</v>
      </c>
      <c r="BN220" s="682">
        <f t="shared" si="130"/>
        <v>0</v>
      </c>
      <c r="BO220" s="658"/>
      <c r="BP220" s="853">
        <f t="shared" si="138"/>
        <v>0.25</v>
      </c>
      <c r="BQ220" s="854" t="s">
        <v>105</v>
      </c>
      <c r="BR220" s="875">
        <f>12/100</f>
        <v>0.12</v>
      </c>
      <c r="BS220" s="858"/>
      <c r="BT220" s="857"/>
      <c r="BU220" s="907" t="str">
        <f t="shared" si="120"/>
        <v>BAJO</v>
      </c>
      <c r="BV220" s="875">
        <f t="shared" si="124"/>
        <v>0.03</v>
      </c>
      <c r="BW220" s="859" t="s">
        <v>1659</v>
      </c>
      <c r="BX220" s="857">
        <f t="shared" si="131"/>
        <v>0.25019999999999998</v>
      </c>
      <c r="BY220" s="857">
        <f t="shared" si="132"/>
        <v>2.9702970297029702E-2</v>
      </c>
      <c r="BZ220" s="857">
        <f t="shared" si="133"/>
        <v>1.3555554999999999E-2</v>
      </c>
      <c r="CA220" s="857">
        <f t="shared" si="134"/>
        <v>1.1318181818181818E-2</v>
      </c>
      <c r="CB220" s="16">
        <f t="shared" si="135"/>
        <v>0.5</v>
      </c>
      <c r="CC220" s="16">
        <f t="shared" si="136"/>
        <v>0.5</v>
      </c>
      <c r="CD220" s="16">
        <f t="shared" si="139"/>
        <v>1</v>
      </c>
      <c r="CE220" s="16">
        <f t="shared" si="140"/>
        <v>0.28000000000000003</v>
      </c>
      <c r="CF220" s="16" t="e">
        <f>SUM(#REF!/(CC220+CB220))</f>
        <v>#REF!</v>
      </c>
      <c r="CG220" s="17"/>
      <c r="CH220" s="17"/>
      <c r="CI220" s="17"/>
      <c r="CJ220" s="17"/>
      <c r="CV220" s="346">
        <f t="shared" si="137"/>
        <v>1</v>
      </c>
    </row>
    <row r="221" spans="1:100" s="3" customFormat="1" ht="65.099999999999994" customHeight="1" x14ac:dyDescent="0.25">
      <c r="A221" s="354" t="s">
        <v>79</v>
      </c>
      <c r="B221" s="354" t="s">
        <v>80</v>
      </c>
      <c r="C221" s="354" t="s">
        <v>81</v>
      </c>
      <c r="D221" s="354" t="s">
        <v>82</v>
      </c>
      <c r="E221" s="354" t="s">
        <v>83</v>
      </c>
      <c r="F221" s="354" t="s">
        <v>84</v>
      </c>
      <c r="G221" s="354" t="s">
        <v>85</v>
      </c>
      <c r="H221" s="354" t="s">
        <v>86</v>
      </c>
      <c r="I221" s="354" t="s">
        <v>87</v>
      </c>
      <c r="J221" s="354" t="s">
        <v>152</v>
      </c>
      <c r="K221" s="348" t="s">
        <v>9</v>
      </c>
      <c r="L221" s="348" t="s">
        <v>539</v>
      </c>
      <c r="M221" s="686" t="s">
        <v>1660</v>
      </c>
      <c r="N221" s="361" t="s">
        <v>541</v>
      </c>
      <c r="O221" s="361" t="s">
        <v>1636</v>
      </c>
      <c r="P221" s="922">
        <v>39542136.277533107</v>
      </c>
      <c r="Q221" s="393" t="s">
        <v>543</v>
      </c>
      <c r="R221" s="348" t="s">
        <v>213</v>
      </c>
      <c r="S221" s="384">
        <v>100</v>
      </c>
      <c r="T221" s="355" t="s">
        <v>1661</v>
      </c>
      <c r="U221" s="355" t="s">
        <v>1662</v>
      </c>
      <c r="V221" s="348" t="s">
        <v>98</v>
      </c>
      <c r="W221" s="355" t="s">
        <v>1663</v>
      </c>
      <c r="X221" s="430">
        <v>0.25</v>
      </c>
      <c r="Y221" s="430">
        <v>0.25</v>
      </c>
      <c r="Z221" s="430">
        <v>0.25</v>
      </c>
      <c r="AA221" s="431">
        <v>0.25</v>
      </c>
      <c r="AB221" s="525">
        <v>8.34</v>
      </c>
      <c r="AC221" s="413">
        <v>0.99009900990099009</v>
      </c>
      <c r="AD221" s="413">
        <v>0.45185183333333329</v>
      </c>
      <c r="AE221" s="413">
        <v>0.37727272727272726</v>
      </c>
      <c r="AF221" s="692">
        <f t="shared" si="125"/>
        <v>0.25</v>
      </c>
      <c r="AG221" s="693" t="s">
        <v>100</v>
      </c>
      <c r="AH221" s="698">
        <v>0</v>
      </c>
      <c r="AI221" s="723"/>
      <c r="AJ221" s="723"/>
      <c r="AK221" s="693" t="str">
        <f>+IF(AND(AH221&gt;=0%,AH221&lt;=60%),"BAJO",IF(AND(AH221&gt;=61%,AH221&lt;=80%),"MEDIO","ALTO"))</f>
        <v>BAJO</v>
      </c>
      <c r="AL221" s="692">
        <f t="shared" si="109"/>
        <v>0</v>
      </c>
      <c r="AM221" s="697" t="s">
        <v>522</v>
      </c>
      <c r="AN221" s="693">
        <f t="shared" si="110"/>
        <v>0</v>
      </c>
      <c r="AO221" s="693">
        <f t="shared" si="111"/>
        <v>0</v>
      </c>
      <c r="AP221" s="693">
        <f t="shared" si="112"/>
        <v>0</v>
      </c>
      <c r="AQ221" s="696"/>
      <c r="AR221" s="401">
        <f t="shared" si="126"/>
        <v>0.25</v>
      </c>
      <c r="AS221" s="402" t="s">
        <v>100</v>
      </c>
      <c r="AT221" s="641">
        <f>167/345</f>
        <v>0.48405797101449277</v>
      </c>
      <c r="AU221" s="631" t="s">
        <v>1664</v>
      </c>
      <c r="AV221" s="631" t="s">
        <v>1665</v>
      </c>
      <c r="AW221" s="729" t="str">
        <f t="shared" si="113"/>
        <v>BAJO</v>
      </c>
      <c r="AX221" s="397">
        <f t="shared" si="114"/>
        <v>0.12101449275362319</v>
      </c>
      <c r="AY221" s="626" t="s">
        <v>1666</v>
      </c>
      <c r="AZ221" s="398">
        <f t="shared" si="115"/>
        <v>1.0092608695652174</v>
      </c>
      <c r="BA221" s="398">
        <f t="shared" si="116"/>
        <v>0.11981632945903287</v>
      </c>
      <c r="BB221" s="398">
        <f t="shared" si="117"/>
        <v>5.4680620410628017E-2</v>
      </c>
      <c r="BC221" s="18"/>
      <c r="BD221" s="14">
        <f t="shared" si="118"/>
        <v>0.25</v>
      </c>
      <c r="BE221" s="677" t="s">
        <v>100</v>
      </c>
      <c r="BF221" s="681">
        <v>0</v>
      </c>
      <c r="BG221" s="754"/>
      <c r="BH221" s="754"/>
      <c r="BI221" s="658" t="str">
        <f t="shared" si="127"/>
        <v>BAJO</v>
      </c>
      <c r="BJ221" s="681">
        <f t="shared" si="119"/>
        <v>0</v>
      </c>
      <c r="BK221" s="647" t="s">
        <v>1642</v>
      </c>
      <c r="BL221" s="682">
        <f t="shared" si="128"/>
        <v>0</v>
      </c>
      <c r="BM221" s="682">
        <f t="shared" si="129"/>
        <v>0</v>
      </c>
      <c r="BN221" s="682">
        <f t="shared" si="130"/>
        <v>0</v>
      </c>
      <c r="BO221" s="754"/>
      <c r="BP221" s="853">
        <f t="shared" si="138"/>
        <v>0.25</v>
      </c>
      <c r="BQ221" s="854" t="s">
        <v>105</v>
      </c>
      <c r="BR221" s="861">
        <v>0</v>
      </c>
      <c r="BS221" s="856"/>
      <c r="BT221" s="857"/>
      <c r="BU221" s="907" t="str">
        <f t="shared" si="120"/>
        <v>BAJO</v>
      </c>
      <c r="BV221" s="875">
        <f t="shared" si="124"/>
        <v>0</v>
      </c>
      <c r="BW221" s="859" t="s">
        <v>1667</v>
      </c>
      <c r="BX221" s="857">
        <f t="shared" si="131"/>
        <v>0</v>
      </c>
      <c r="BY221" s="857">
        <f t="shared" si="132"/>
        <v>0</v>
      </c>
      <c r="BZ221" s="857">
        <f t="shared" si="133"/>
        <v>0</v>
      </c>
      <c r="CA221" s="857">
        <f t="shared" si="134"/>
        <v>0</v>
      </c>
      <c r="CB221" s="16">
        <f t="shared" si="135"/>
        <v>0.5</v>
      </c>
      <c r="CC221" s="16">
        <f t="shared" si="136"/>
        <v>0.5</v>
      </c>
      <c r="CD221" s="16">
        <f t="shared" si="139"/>
        <v>1</v>
      </c>
      <c r="CE221" s="16">
        <f t="shared" si="140"/>
        <v>0.12101449275362319</v>
      </c>
      <c r="CF221" s="16" t="e">
        <f>SUM(#REF!/(CC221+CB221))</f>
        <v>#REF!</v>
      </c>
      <c r="CG221" s="19"/>
      <c r="CH221" s="19"/>
      <c r="CI221" s="19"/>
      <c r="CJ221" s="19"/>
      <c r="CV221" s="346">
        <f t="shared" si="137"/>
        <v>1</v>
      </c>
    </row>
    <row r="222" spans="1:100" s="1" customFormat="1" ht="65.099999999999994" customHeight="1" x14ac:dyDescent="0.25">
      <c r="A222" s="354" t="s">
        <v>79</v>
      </c>
      <c r="B222" s="354" t="s">
        <v>80</v>
      </c>
      <c r="C222" s="354" t="s">
        <v>81</v>
      </c>
      <c r="D222" s="354" t="s">
        <v>82</v>
      </c>
      <c r="E222" s="354" t="s">
        <v>83</v>
      </c>
      <c r="F222" s="354" t="s">
        <v>84</v>
      </c>
      <c r="G222" s="354" t="s">
        <v>85</v>
      </c>
      <c r="H222" s="354" t="s">
        <v>86</v>
      </c>
      <c r="I222" s="354" t="s">
        <v>87</v>
      </c>
      <c r="J222" s="354" t="s">
        <v>88</v>
      </c>
      <c r="K222" s="348" t="s">
        <v>9</v>
      </c>
      <c r="L222" s="348" t="s">
        <v>539</v>
      </c>
      <c r="M222" s="686" t="s">
        <v>1668</v>
      </c>
      <c r="N222" s="361" t="s">
        <v>541</v>
      </c>
      <c r="O222" s="361" t="s">
        <v>1636</v>
      </c>
      <c r="P222" s="922">
        <v>39542136.277533107</v>
      </c>
      <c r="Q222" s="393" t="s">
        <v>543</v>
      </c>
      <c r="R222" s="348" t="s">
        <v>213</v>
      </c>
      <c r="S222" s="384">
        <v>12</v>
      </c>
      <c r="T222" s="355" t="s">
        <v>1669</v>
      </c>
      <c r="U222" s="355" t="s">
        <v>1670</v>
      </c>
      <c r="V222" s="348" t="s">
        <v>119</v>
      </c>
      <c r="W222" s="355" t="s">
        <v>1671</v>
      </c>
      <c r="X222" s="430">
        <v>0.25</v>
      </c>
      <c r="Y222" s="430">
        <v>0.25</v>
      </c>
      <c r="Z222" s="430">
        <v>0.25</v>
      </c>
      <c r="AA222" s="431">
        <v>0.25</v>
      </c>
      <c r="AB222" s="525">
        <v>8.33</v>
      </c>
      <c r="AC222" s="413">
        <v>0.99009900990099009</v>
      </c>
      <c r="AD222" s="413">
        <v>0.45185183333333329</v>
      </c>
      <c r="AE222" s="413">
        <v>0.37727272727272726</v>
      </c>
      <c r="AF222" s="692">
        <f t="shared" si="125"/>
        <v>0.25</v>
      </c>
      <c r="AG222" s="693" t="s">
        <v>100</v>
      </c>
      <c r="AH222" s="698">
        <v>0</v>
      </c>
      <c r="AI222" s="693"/>
      <c r="AJ222" s="693"/>
      <c r="AK222" s="693" t="str">
        <f>+IF(AND(AH222&gt;=0%,AH222&lt;=60%),"BAJO",IF(AND(AH222&gt;=61%,AH222&lt;=80%),"MEDIO","ALTO"))</f>
        <v>BAJO</v>
      </c>
      <c r="AL222" s="692">
        <f t="shared" si="109"/>
        <v>0</v>
      </c>
      <c r="AM222" s="697" t="s">
        <v>522</v>
      </c>
      <c r="AN222" s="693">
        <f t="shared" si="110"/>
        <v>0</v>
      </c>
      <c r="AO222" s="693">
        <f t="shared" si="111"/>
        <v>0</v>
      </c>
      <c r="AP222" s="693">
        <f t="shared" si="112"/>
        <v>0</v>
      </c>
      <c r="AQ222" s="693"/>
      <c r="AR222" s="401">
        <f t="shared" si="126"/>
        <v>0.25</v>
      </c>
      <c r="AS222" s="402" t="s">
        <v>100</v>
      </c>
      <c r="AT222" s="641">
        <f>3/3</f>
        <v>1</v>
      </c>
      <c r="AU222" s="631" t="s">
        <v>1672</v>
      </c>
      <c r="AV222" s="631" t="s">
        <v>1673</v>
      </c>
      <c r="AW222" s="729" t="str">
        <f t="shared" si="113"/>
        <v>ALTO</v>
      </c>
      <c r="AX222" s="397">
        <f t="shared" si="114"/>
        <v>0.25</v>
      </c>
      <c r="AY222" s="626" t="s">
        <v>1674</v>
      </c>
      <c r="AZ222" s="398">
        <f t="shared" si="115"/>
        <v>2.0825</v>
      </c>
      <c r="BA222" s="398">
        <f t="shared" si="116"/>
        <v>0.24752475247524752</v>
      </c>
      <c r="BB222" s="398">
        <f t="shared" si="117"/>
        <v>0.11296295833333332</v>
      </c>
      <c r="BC222" s="15"/>
      <c r="BD222" s="14">
        <f t="shared" si="118"/>
        <v>0.25</v>
      </c>
      <c r="BE222" s="677" t="s">
        <v>100</v>
      </c>
      <c r="BF222" s="681">
        <v>0</v>
      </c>
      <c r="BG222" s="658"/>
      <c r="BH222" s="658"/>
      <c r="BI222" s="658" t="str">
        <f t="shared" si="127"/>
        <v>BAJO</v>
      </c>
      <c r="BJ222" s="681">
        <f t="shared" si="119"/>
        <v>0</v>
      </c>
      <c r="BK222" s="647" t="s">
        <v>1642</v>
      </c>
      <c r="BL222" s="682">
        <f t="shared" si="128"/>
        <v>0</v>
      </c>
      <c r="BM222" s="682">
        <f t="shared" si="129"/>
        <v>0</v>
      </c>
      <c r="BN222" s="682">
        <f t="shared" si="130"/>
        <v>0</v>
      </c>
      <c r="BO222" s="658"/>
      <c r="BP222" s="853">
        <f t="shared" si="138"/>
        <v>0.25</v>
      </c>
      <c r="BQ222" s="854" t="s">
        <v>105</v>
      </c>
      <c r="BR222" s="875">
        <v>1</v>
      </c>
      <c r="BS222" s="858"/>
      <c r="BT222" s="857"/>
      <c r="BU222" s="905" t="str">
        <f t="shared" si="120"/>
        <v>ALTO</v>
      </c>
      <c r="BV222" s="875">
        <f t="shared" si="124"/>
        <v>0.25</v>
      </c>
      <c r="BW222" s="859" t="s">
        <v>1675</v>
      </c>
      <c r="BX222" s="857">
        <f t="shared" si="131"/>
        <v>2.0825</v>
      </c>
      <c r="BY222" s="857">
        <f t="shared" si="132"/>
        <v>0.24752475247524752</v>
      </c>
      <c r="BZ222" s="857">
        <f t="shared" si="133"/>
        <v>0.11296295833333332</v>
      </c>
      <c r="CA222" s="857">
        <f t="shared" si="134"/>
        <v>9.4318181818181815E-2</v>
      </c>
      <c r="CB222" s="16">
        <f t="shared" si="135"/>
        <v>0.5</v>
      </c>
      <c r="CC222" s="16">
        <f t="shared" si="136"/>
        <v>0.5</v>
      </c>
      <c r="CD222" s="16">
        <f t="shared" si="139"/>
        <v>1</v>
      </c>
      <c r="CE222" s="16">
        <f t="shared" si="140"/>
        <v>0.5</v>
      </c>
      <c r="CF222" s="16" t="e">
        <f>SUM(#REF!/(CC222+CB222))</f>
        <v>#REF!</v>
      </c>
      <c r="CG222" s="17"/>
      <c r="CH222" s="17"/>
      <c r="CI222" s="17"/>
      <c r="CJ222" s="17"/>
      <c r="CV222" s="346">
        <f t="shared" si="137"/>
        <v>1</v>
      </c>
    </row>
    <row r="223" spans="1:100" s="1" customFormat="1" ht="65.099999999999994" customHeight="1" x14ac:dyDescent="0.25">
      <c r="A223" s="356" t="s">
        <v>79</v>
      </c>
      <c r="B223" s="356" t="s">
        <v>80</v>
      </c>
      <c r="C223" s="356" t="s">
        <v>81</v>
      </c>
      <c r="D223" s="356" t="s">
        <v>82</v>
      </c>
      <c r="E223" s="356" t="s">
        <v>83</v>
      </c>
      <c r="F223" s="356" t="s">
        <v>84</v>
      </c>
      <c r="G223" s="356" t="s">
        <v>85</v>
      </c>
      <c r="H223" s="356" t="s">
        <v>86</v>
      </c>
      <c r="I223" s="356" t="s">
        <v>87</v>
      </c>
      <c r="J223" s="356" t="s">
        <v>88</v>
      </c>
      <c r="K223" s="357" t="s">
        <v>9</v>
      </c>
      <c r="L223" s="357" t="s">
        <v>539</v>
      </c>
      <c r="M223" s="357" t="s">
        <v>153</v>
      </c>
      <c r="N223" s="367" t="s">
        <v>91</v>
      </c>
      <c r="O223" s="367" t="s">
        <v>154</v>
      </c>
      <c r="P223" s="930">
        <v>39542136.277533107</v>
      </c>
      <c r="Q223" s="357" t="s">
        <v>543</v>
      </c>
      <c r="R223" s="357" t="s">
        <v>156</v>
      </c>
      <c r="S223" s="357">
        <v>3</v>
      </c>
      <c r="T223" s="369" t="s">
        <v>157</v>
      </c>
      <c r="U223" s="357" t="s">
        <v>158</v>
      </c>
      <c r="V223" s="370" t="s">
        <v>98</v>
      </c>
      <c r="W223" s="497" t="s">
        <v>159</v>
      </c>
      <c r="X223" s="432">
        <v>0</v>
      </c>
      <c r="Y223" s="432">
        <v>0.34</v>
      </c>
      <c r="Z223" s="432">
        <v>0.33</v>
      </c>
      <c r="AA223" s="444">
        <v>0.33</v>
      </c>
      <c r="AB223" s="525">
        <v>8.33</v>
      </c>
      <c r="AC223" s="413">
        <v>0.99009900990099009</v>
      </c>
      <c r="AD223" s="413">
        <v>0.45185183333333329</v>
      </c>
      <c r="AE223" s="413">
        <v>0.37727272727272726</v>
      </c>
      <c r="AF223" s="692">
        <f t="shared" si="125"/>
        <v>0</v>
      </c>
      <c r="AG223" s="693" t="s">
        <v>146</v>
      </c>
      <c r="AH223" s="698">
        <v>0</v>
      </c>
      <c r="AI223" s="693"/>
      <c r="AJ223" s="693"/>
      <c r="AK223" s="693"/>
      <c r="AL223" s="692">
        <f t="shared" si="109"/>
        <v>0</v>
      </c>
      <c r="AM223" s="697" t="s">
        <v>121</v>
      </c>
      <c r="AN223" s="693">
        <f t="shared" si="110"/>
        <v>0</v>
      </c>
      <c r="AO223" s="693">
        <f t="shared" si="111"/>
        <v>0</v>
      </c>
      <c r="AP223" s="693">
        <f t="shared" si="112"/>
        <v>0</v>
      </c>
      <c r="AQ223" s="693"/>
      <c r="AR223" s="401">
        <f t="shared" si="126"/>
        <v>0.34</v>
      </c>
      <c r="AS223" s="402" t="s">
        <v>100</v>
      </c>
      <c r="AT223" s="641">
        <f>1/1</f>
        <v>1</v>
      </c>
      <c r="AU223" s="750" t="s">
        <v>1676</v>
      </c>
      <c r="AV223" s="631" t="s">
        <v>1677</v>
      </c>
      <c r="AW223" s="729" t="str">
        <f t="shared" si="113"/>
        <v>ALTO</v>
      </c>
      <c r="AX223" s="397">
        <f t="shared" si="114"/>
        <v>0.34</v>
      </c>
      <c r="AY223" s="626" t="s">
        <v>102</v>
      </c>
      <c r="AZ223" s="398">
        <f t="shared" si="115"/>
        <v>2.8322000000000003</v>
      </c>
      <c r="BA223" s="398">
        <f t="shared" si="116"/>
        <v>0.33663366336633666</v>
      </c>
      <c r="BB223" s="398">
        <f t="shared" si="117"/>
        <v>0.15362962333333333</v>
      </c>
      <c r="BC223" s="15"/>
      <c r="BD223" s="14">
        <f t="shared" si="118"/>
        <v>0.33</v>
      </c>
      <c r="BE223" s="677" t="s">
        <v>100</v>
      </c>
      <c r="BF223" s="681">
        <v>0</v>
      </c>
      <c r="BG223" s="658"/>
      <c r="BH223" s="658"/>
      <c r="BI223" s="658" t="str">
        <f t="shared" si="127"/>
        <v>BAJO</v>
      </c>
      <c r="BJ223" s="681">
        <f t="shared" si="119"/>
        <v>0</v>
      </c>
      <c r="BK223" s="647" t="s">
        <v>1642</v>
      </c>
      <c r="BL223" s="682">
        <f t="shared" si="128"/>
        <v>0</v>
      </c>
      <c r="BM223" s="682">
        <f t="shared" si="129"/>
        <v>0</v>
      </c>
      <c r="BN223" s="682">
        <f t="shared" si="130"/>
        <v>0</v>
      </c>
      <c r="BO223" s="658"/>
      <c r="BP223" s="853">
        <f t="shared" si="138"/>
        <v>0.33</v>
      </c>
      <c r="BQ223" s="854" t="s">
        <v>105</v>
      </c>
      <c r="BR223" s="875">
        <v>0</v>
      </c>
      <c r="BS223" s="858"/>
      <c r="BT223" s="857"/>
      <c r="BU223" s="907" t="str">
        <f t="shared" si="120"/>
        <v>BAJO</v>
      </c>
      <c r="BV223" s="875">
        <f t="shared" si="124"/>
        <v>0</v>
      </c>
      <c r="BW223" s="859" t="s">
        <v>853</v>
      </c>
      <c r="BX223" s="857">
        <f t="shared" si="131"/>
        <v>0</v>
      </c>
      <c r="BY223" s="857">
        <f t="shared" si="132"/>
        <v>0</v>
      </c>
      <c r="BZ223" s="857">
        <f t="shared" si="133"/>
        <v>0</v>
      </c>
      <c r="CA223" s="857">
        <f t="shared" si="134"/>
        <v>0</v>
      </c>
      <c r="CB223" s="16">
        <f t="shared" si="135"/>
        <v>0.66</v>
      </c>
      <c r="CC223" s="16">
        <f t="shared" si="136"/>
        <v>0.34</v>
      </c>
      <c r="CD223" s="16">
        <f t="shared" si="139"/>
        <v>1</v>
      </c>
      <c r="CE223" s="16">
        <f t="shared" si="140"/>
        <v>0.34</v>
      </c>
      <c r="CF223" s="16" t="e">
        <f>SUM(#REF!/(CC223+CB223))</f>
        <v>#REF!</v>
      </c>
      <c r="CG223" s="17"/>
      <c r="CH223" s="17"/>
      <c r="CI223" s="17"/>
      <c r="CJ223" s="17"/>
      <c r="CK223" s="3" t="s">
        <v>165</v>
      </c>
      <c r="CV223" s="346">
        <f t="shared" si="137"/>
        <v>1</v>
      </c>
    </row>
    <row r="224" spans="1:100" s="1" customFormat="1" ht="65.099999999999994" customHeight="1" x14ac:dyDescent="0.25">
      <c r="A224" s="356" t="s">
        <v>79</v>
      </c>
      <c r="B224" s="356" t="s">
        <v>80</v>
      </c>
      <c r="C224" s="356" t="s">
        <v>81</v>
      </c>
      <c r="D224" s="356" t="s">
        <v>82</v>
      </c>
      <c r="E224" s="356" t="s">
        <v>83</v>
      </c>
      <c r="F224" s="356" t="s">
        <v>84</v>
      </c>
      <c r="G224" s="356" t="s">
        <v>85</v>
      </c>
      <c r="H224" s="356" t="s">
        <v>86</v>
      </c>
      <c r="I224" s="356" t="s">
        <v>87</v>
      </c>
      <c r="J224" s="356" t="s">
        <v>88</v>
      </c>
      <c r="K224" s="357" t="s">
        <v>9</v>
      </c>
      <c r="L224" s="357" t="s">
        <v>539</v>
      </c>
      <c r="M224" s="357" t="s">
        <v>166</v>
      </c>
      <c r="N224" s="367" t="s">
        <v>91</v>
      </c>
      <c r="O224" s="367" t="s">
        <v>154</v>
      </c>
      <c r="P224" s="930">
        <v>39542136.277533107</v>
      </c>
      <c r="Q224" s="357" t="s">
        <v>543</v>
      </c>
      <c r="R224" s="357" t="s">
        <v>156</v>
      </c>
      <c r="S224" s="357">
        <v>3</v>
      </c>
      <c r="T224" s="377" t="s">
        <v>167</v>
      </c>
      <c r="U224" s="357" t="s">
        <v>168</v>
      </c>
      <c r="V224" s="357" t="s">
        <v>98</v>
      </c>
      <c r="W224" s="497" t="s">
        <v>616</v>
      </c>
      <c r="X224" s="432">
        <v>0</v>
      </c>
      <c r="Y224" s="432">
        <v>0.34</v>
      </c>
      <c r="Z224" s="432">
        <v>0.33</v>
      </c>
      <c r="AA224" s="444">
        <v>0.33</v>
      </c>
      <c r="AB224" s="525">
        <v>8.33</v>
      </c>
      <c r="AC224" s="413">
        <v>0.99009900990099009</v>
      </c>
      <c r="AD224" s="413">
        <v>0.45185183333333329</v>
      </c>
      <c r="AE224" s="413">
        <v>0.37727272727272726</v>
      </c>
      <c r="AF224" s="692">
        <f t="shared" si="125"/>
        <v>0</v>
      </c>
      <c r="AG224" s="693" t="s">
        <v>146</v>
      </c>
      <c r="AH224" s="698">
        <v>0</v>
      </c>
      <c r="AI224" s="693"/>
      <c r="AJ224" s="693"/>
      <c r="AK224" s="693"/>
      <c r="AL224" s="692">
        <f t="shared" si="109"/>
        <v>0</v>
      </c>
      <c r="AM224" s="697" t="s">
        <v>121</v>
      </c>
      <c r="AN224" s="693">
        <f t="shared" si="110"/>
        <v>0</v>
      </c>
      <c r="AO224" s="693">
        <f t="shared" si="111"/>
        <v>0</v>
      </c>
      <c r="AP224" s="693">
        <f t="shared" si="112"/>
        <v>0</v>
      </c>
      <c r="AQ224" s="693"/>
      <c r="AR224" s="401">
        <f t="shared" si="126"/>
        <v>0.34</v>
      </c>
      <c r="AS224" s="402" t="s">
        <v>100</v>
      </c>
      <c r="AT224" s="641">
        <f>1/2</f>
        <v>0.5</v>
      </c>
      <c r="AU224" s="750" t="s">
        <v>1678</v>
      </c>
      <c r="AV224" s="743" t="s">
        <v>1679</v>
      </c>
      <c r="AW224" s="729" t="str">
        <f t="shared" si="113"/>
        <v>BAJO</v>
      </c>
      <c r="AX224" s="397">
        <f t="shared" si="114"/>
        <v>0.17</v>
      </c>
      <c r="AY224" s="626" t="s">
        <v>1680</v>
      </c>
      <c r="AZ224" s="398">
        <f t="shared" si="115"/>
        <v>1.4161000000000001</v>
      </c>
      <c r="BA224" s="398">
        <f t="shared" si="116"/>
        <v>0.16831683168316833</v>
      </c>
      <c r="BB224" s="398">
        <f t="shared" si="117"/>
        <v>7.6814811666666663E-2</v>
      </c>
      <c r="BC224" s="15"/>
      <c r="BD224" s="14">
        <f t="shared" si="118"/>
        <v>0.33</v>
      </c>
      <c r="BE224" s="677" t="s">
        <v>100</v>
      </c>
      <c r="BF224" s="681">
        <v>0</v>
      </c>
      <c r="BG224" s="658"/>
      <c r="BH224" s="658"/>
      <c r="BI224" s="658" t="str">
        <f t="shared" si="127"/>
        <v>BAJO</v>
      </c>
      <c r="BJ224" s="681">
        <f t="shared" si="119"/>
        <v>0</v>
      </c>
      <c r="BK224" s="647" t="s">
        <v>1642</v>
      </c>
      <c r="BL224" s="682">
        <f t="shared" si="128"/>
        <v>0</v>
      </c>
      <c r="BM224" s="682">
        <f t="shared" si="129"/>
        <v>0</v>
      </c>
      <c r="BN224" s="682">
        <f t="shared" si="130"/>
        <v>0</v>
      </c>
      <c r="BO224" s="658"/>
      <c r="BP224" s="853">
        <f t="shared" si="138"/>
        <v>0.33</v>
      </c>
      <c r="BQ224" s="854" t="s">
        <v>105</v>
      </c>
      <c r="BR224" s="875">
        <v>0</v>
      </c>
      <c r="BS224" s="858"/>
      <c r="BT224" s="857"/>
      <c r="BU224" s="907" t="str">
        <f t="shared" si="120"/>
        <v>BAJO</v>
      </c>
      <c r="BV224" s="875">
        <f t="shared" si="124"/>
        <v>0</v>
      </c>
      <c r="BW224" s="859" t="s">
        <v>1681</v>
      </c>
      <c r="BX224" s="857">
        <f t="shared" si="131"/>
        <v>0</v>
      </c>
      <c r="BY224" s="857">
        <f t="shared" si="132"/>
        <v>0</v>
      </c>
      <c r="BZ224" s="857">
        <f t="shared" si="133"/>
        <v>0</v>
      </c>
      <c r="CA224" s="857">
        <f t="shared" si="134"/>
        <v>0</v>
      </c>
      <c r="CB224" s="16">
        <f t="shared" si="135"/>
        <v>0.66</v>
      </c>
      <c r="CC224" s="16">
        <f t="shared" si="136"/>
        <v>0.34</v>
      </c>
      <c r="CD224" s="16">
        <f t="shared" si="139"/>
        <v>1</v>
      </c>
      <c r="CE224" s="16">
        <f t="shared" si="140"/>
        <v>0.17</v>
      </c>
      <c r="CF224" s="16" t="e">
        <f>SUM(#REF!/(CC224+CB224))</f>
        <v>#REF!</v>
      </c>
      <c r="CG224" s="17"/>
      <c r="CH224" s="17"/>
      <c r="CI224" s="17"/>
      <c r="CJ224" s="17"/>
      <c r="CK224" s="3" t="s">
        <v>165</v>
      </c>
      <c r="CV224" s="346">
        <f t="shared" si="137"/>
        <v>1</v>
      </c>
    </row>
    <row r="225" spans="1:100" s="1" customFormat="1" ht="65.099999999999994" customHeight="1" x14ac:dyDescent="0.25">
      <c r="A225" s="356" t="s">
        <v>79</v>
      </c>
      <c r="B225" s="356" t="s">
        <v>80</v>
      </c>
      <c r="C225" s="356" t="s">
        <v>81</v>
      </c>
      <c r="D225" s="356" t="s">
        <v>82</v>
      </c>
      <c r="E225" s="356" t="s">
        <v>83</v>
      </c>
      <c r="F225" s="356" t="s">
        <v>84</v>
      </c>
      <c r="G225" s="356" t="s">
        <v>85</v>
      </c>
      <c r="H225" s="356" t="s">
        <v>86</v>
      </c>
      <c r="I225" s="356" t="s">
        <v>87</v>
      </c>
      <c r="J225" s="356" t="s">
        <v>88</v>
      </c>
      <c r="K225" s="357" t="s">
        <v>9</v>
      </c>
      <c r="L225" s="357" t="s">
        <v>539</v>
      </c>
      <c r="M225" s="357" t="s">
        <v>174</v>
      </c>
      <c r="N225" s="367" t="s">
        <v>91</v>
      </c>
      <c r="O225" s="367" t="s">
        <v>154</v>
      </c>
      <c r="P225" s="930">
        <v>39542136.277533107</v>
      </c>
      <c r="Q225" s="357" t="s">
        <v>543</v>
      </c>
      <c r="R225" s="357" t="s">
        <v>156</v>
      </c>
      <c r="S225" s="357">
        <v>3</v>
      </c>
      <c r="T225" s="371" t="s">
        <v>175</v>
      </c>
      <c r="U225" s="357" t="s">
        <v>176</v>
      </c>
      <c r="V225" s="357" t="s">
        <v>98</v>
      </c>
      <c r="W225" s="497" t="s">
        <v>159</v>
      </c>
      <c r="X225" s="432">
        <v>0</v>
      </c>
      <c r="Y225" s="432">
        <v>0.33</v>
      </c>
      <c r="Z225" s="432">
        <v>0.33</v>
      </c>
      <c r="AA225" s="444">
        <v>0.34</v>
      </c>
      <c r="AB225" s="525">
        <v>8.33</v>
      </c>
      <c r="AC225" s="413">
        <v>0.99009900990099009</v>
      </c>
      <c r="AD225" s="413">
        <v>0.45185183333333329</v>
      </c>
      <c r="AE225" s="413">
        <v>0.37727272727272726</v>
      </c>
      <c r="AF225" s="692">
        <f t="shared" si="125"/>
        <v>0</v>
      </c>
      <c r="AG225" s="693" t="s">
        <v>146</v>
      </c>
      <c r="AH225" s="698">
        <v>0</v>
      </c>
      <c r="AI225" s="693"/>
      <c r="AJ225" s="693"/>
      <c r="AK225" s="693"/>
      <c r="AL225" s="692">
        <f t="shared" ref="AL225:AL280" si="141">AF225*AH225</f>
        <v>0</v>
      </c>
      <c r="AM225" s="697" t="s">
        <v>121</v>
      </c>
      <c r="AN225" s="693">
        <f t="shared" ref="AN225:AN280" si="142">AL225*AB225</f>
        <v>0</v>
      </c>
      <c r="AO225" s="693">
        <f t="shared" ref="AO225:AO280" si="143">AL225*AC225</f>
        <v>0</v>
      </c>
      <c r="AP225" s="693">
        <f t="shared" ref="AP225:AP280" si="144">AL225*AD225</f>
        <v>0</v>
      </c>
      <c r="AQ225" s="693"/>
      <c r="AR225" s="401">
        <f t="shared" si="126"/>
        <v>0.33</v>
      </c>
      <c r="AS225" s="402" t="s">
        <v>100</v>
      </c>
      <c r="AT225" s="641">
        <f>1/1</f>
        <v>1</v>
      </c>
      <c r="AU225" s="631" t="s">
        <v>1682</v>
      </c>
      <c r="AV225" s="631" t="s">
        <v>1683</v>
      </c>
      <c r="AW225" s="729" t="str">
        <f t="shared" ref="AW225:AW279" si="145">+IF(AND(AT225&gt;=0%,AT225&lt;=60%),"BAJO",IF(AND(AT225&gt;=61%,AT225&lt;=80%),"MEDIO","ALTO"))</f>
        <v>ALTO</v>
      </c>
      <c r="AX225" s="397">
        <f t="shared" ref="AX225:AX280" si="146">AR225*AT225</f>
        <v>0.33</v>
      </c>
      <c r="AY225" s="626" t="s">
        <v>1468</v>
      </c>
      <c r="AZ225" s="398">
        <f t="shared" ref="AZ225:AZ280" si="147">AX225*AB225</f>
        <v>2.7489000000000003</v>
      </c>
      <c r="BA225" s="398">
        <f t="shared" ref="BA225:BA280" si="148">AX225*AC225</f>
        <v>0.32673267326732675</v>
      </c>
      <c r="BB225" s="398">
        <f t="shared" ref="BB225:BB280" si="149">AX225*AD225</f>
        <v>0.14911110499999999</v>
      </c>
      <c r="BC225" s="15"/>
      <c r="BD225" s="14">
        <f t="shared" ref="BD225:BD280" si="150">Z225</f>
        <v>0.33</v>
      </c>
      <c r="BE225" s="677" t="s">
        <v>100</v>
      </c>
      <c r="BF225" s="681">
        <v>0</v>
      </c>
      <c r="BG225" s="658"/>
      <c r="BH225" s="658"/>
      <c r="BI225" s="658" t="str">
        <f t="shared" si="127"/>
        <v>BAJO</v>
      </c>
      <c r="BJ225" s="681">
        <f t="shared" ref="BJ225:BJ280" si="151">BD225*BF225</f>
        <v>0</v>
      </c>
      <c r="BK225" s="647" t="s">
        <v>1642</v>
      </c>
      <c r="BL225" s="682">
        <f t="shared" si="128"/>
        <v>0</v>
      </c>
      <c r="BM225" s="682">
        <f t="shared" si="129"/>
        <v>0</v>
      </c>
      <c r="BN225" s="682">
        <f t="shared" si="130"/>
        <v>0</v>
      </c>
      <c r="BO225" s="658"/>
      <c r="BP225" s="853">
        <f t="shared" si="138"/>
        <v>0.34</v>
      </c>
      <c r="BQ225" s="854" t="s">
        <v>105</v>
      </c>
      <c r="BR225" s="855">
        <v>1</v>
      </c>
      <c r="BS225" s="858"/>
      <c r="BT225" s="857"/>
      <c r="BU225" s="905" t="str">
        <f t="shared" ref="BU225:BU280" si="152">+IF(AND(BR225&gt;=0%,BR225&lt;=60%),"BAJO",IF(AND(BR225&gt;=61%,BR225&lt;=80%),"MEDIO","ALTO"))</f>
        <v>ALTO</v>
      </c>
      <c r="BV225" s="875">
        <f t="shared" si="124"/>
        <v>0.34</v>
      </c>
      <c r="BW225" s="859" t="s">
        <v>180</v>
      </c>
      <c r="BX225" s="857">
        <f t="shared" si="131"/>
        <v>2.8322000000000003</v>
      </c>
      <c r="BY225" s="857">
        <f t="shared" si="132"/>
        <v>0.33663366336633666</v>
      </c>
      <c r="BZ225" s="857">
        <f t="shared" si="133"/>
        <v>0.15362962333333333</v>
      </c>
      <c r="CA225" s="857">
        <f t="shared" si="134"/>
        <v>0.12827272727272729</v>
      </c>
      <c r="CB225" s="16">
        <f t="shared" si="135"/>
        <v>0.67</v>
      </c>
      <c r="CC225" s="16">
        <f t="shared" si="136"/>
        <v>0.33</v>
      </c>
      <c r="CD225" s="16">
        <f t="shared" si="139"/>
        <v>1</v>
      </c>
      <c r="CE225" s="16">
        <f t="shared" si="140"/>
        <v>0.67</v>
      </c>
      <c r="CF225" s="16" t="e">
        <f>SUM(#REF!/(CC225+CB225))</f>
        <v>#REF!</v>
      </c>
      <c r="CG225" s="17"/>
      <c r="CH225" s="17"/>
      <c r="CI225" s="17"/>
      <c r="CJ225" s="17"/>
      <c r="CK225" s="3" t="s">
        <v>165</v>
      </c>
      <c r="CV225" s="346">
        <f t="shared" si="137"/>
        <v>1</v>
      </c>
    </row>
    <row r="226" spans="1:100" s="1" customFormat="1" ht="65.099999999999994" customHeight="1" x14ac:dyDescent="0.25">
      <c r="A226" s="356" t="s">
        <v>79</v>
      </c>
      <c r="B226" s="356" t="s">
        <v>80</v>
      </c>
      <c r="C226" s="356" t="s">
        <v>81</v>
      </c>
      <c r="D226" s="356" t="s">
        <v>82</v>
      </c>
      <c r="E226" s="356" t="s">
        <v>83</v>
      </c>
      <c r="F226" s="356" t="s">
        <v>84</v>
      </c>
      <c r="G226" s="356" t="s">
        <v>85</v>
      </c>
      <c r="H226" s="356" t="s">
        <v>86</v>
      </c>
      <c r="I226" s="356" t="s">
        <v>87</v>
      </c>
      <c r="J226" s="356" t="s">
        <v>88</v>
      </c>
      <c r="K226" s="357" t="s">
        <v>9</v>
      </c>
      <c r="L226" s="357" t="s">
        <v>539</v>
      </c>
      <c r="M226" s="357" t="s">
        <v>181</v>
      </c>
      <c r="N226" s="367" t="s">
        <v>91</v>
      </c>
      <c r="O226" s="367" t="s">
        <v>154</v>
      </c>
      <c r="P226" s="930">
        <v>39542136.277533107</v>
      </c>
      <c r="Q226" s="357" t="s">
        <v>543</v>
      </c>
      <c r="R226" s="357" t="s">
        <v>156</v>
      </c>
      <c r="S226" s="371">
        <v>1</v>
      </c>
      <c r="T226" s="369" t="s">
        <v>182</v>
      </c>
      <c r="U226" s="357" t="s">
        <v>183</v>
      </c>
      <c r="V226" s="357" t="s">
        <v>98</v>
      </c>
      <c r="W226" s="497" t="s">
        <v>184</v>
      </c>
      <c r="X226" s="432">
        <v>0</v>
      </c>
      <c r="Y226" s="432">
        <v>0.5</v>
      </c>
      <c r="Z226" s="432">
        <v>0</v>
      </c>
      <c r="AA226" s="444">
        <v>0.5</v>
      </c>
      <c r="AB226" s="525">
        <v>8.33</v>
      </c>
      <c r="AC226" s="413">
        <v>0.99009900990099009</v>
      </c>
      <c r="AD226" s="413">
        <v>0.45185183333333329</v>
      </c>
      <c r="AE226" s="413">
        <v>0.37727272727272726</v>
      </c>
      <c r="AF226" s="692">
        <f t="shared" si="125"/>
        <v>0</v>
      </c>
      <c r="AG226" s="693" t="s">
        <v>146</v>
      </c>
      <c r="AH226" s="698">
        <v>0</v>
      </c>
      <c r="AI226" s="693"/>
      <c r="AJ226" s="693"/>
      <c r="AK226" s="693"/>
      <c r="AL226" s="692">
        <f t="shared" si="141"/>
        <v>0</v>
      </c>
      <c r="AM226" s="697" t="s">
        <v>121</v>
      </c>
      <c r="AN226" s="693">
        <f t="shared" si="142"/>
        <v>0</v>
      </c>
      <c r="AO226" s="693">
        <f t="shared" si="143"/>
        <v>0</v>
      </c>
      <c r="AP226" s="693">
        <f t="shared" si="144"/>
        <v>0</v>
      </c>
      <c r="AQ226" s="693"/>
      <c r="AR226" s="401">
        <f t="shared" si="126"/>
        <v>0.5</v>
      </c>
      <c r="AS226" s="402" t="s">
        <v>100</v>
      </c>
      <c r="AT226" s="643">
        <v>0</v>
      </c>
      <c r="AU226" s="626" t="s">
        <v>1684</v>
      </c>
      <c r="AV226" s="743"/>
      <c r="AW226" s="729" t="str">
        <f t="shared" si="145"/>
        <v>BAJO</v>
      </c>
      <c r="AX226" s="397">
        <f t="shared" si="146"/>
        <v>0</v>
      </c>
      <c r="AY226" s="626" t="s">
        <v>522</v>
      </c>
      <c r="AZ226" s="398">
        <f t="shared" si="147"/>
        <v>0</v>
      </c>
      <c r="BA226" s="398">
        <f t="shared" si="148"/>
        <v>0</v>
      </c>
      <c r="BB226" s="398">
        <f t="shared" si="149"/>
        <v>0</v>
      </c>
      <c r="BC226" s="15"/>
      <c r="BD226" s="14">
        <f t="shared" si="150"/>
        <v>0</v>
      </c>
      <c r="BE226" s="677" t="s">
        <v>100</v>
      </c>
      <c r="BF226" s="681">
        <v>0</v>
      </c>
      <c r="BG226" s="658"/>
      <c r="BH226" s="658"/>
      <c r="BI226" s="658" t="str">
        <f t="shared" si="127"/>
        <v>BAJO</v>
      </c>
      <c r="BJ226" s="681">
        <f t="shared" si="151"/>
        <v>0</v>
      </c>
      <c r="BK226" s="647" t="s">
        <v>1642</v>
      </c>
      <c r="BL226" s="682">
        <f t="shared" si="128"/>
        <v>0</v>
      </c>
      <c r="BM226" s="682">
        <f t="shared" si="129"/>
        <v>0</v>
      </c>
      <c r="BN226" s="682">
        <f t="shared" si="130"/>
        <v>0</v>
      </c>
      <c r="BO226" s="658"/>
      <c r="BP226" s="853">
        <f t="shared" si="138"/>
        <v>0.5</v>
      </c>
      <c r="BQ226" s="854" t="s">
        <v>105</v>
      </c>
      <c r="BR226" s="875">
        <v>0.5</v>
      </c>
      <c r="BS226" s="858"/>
      <c r="BT226" s="857"/>
      <c r="BU226" s="905" t="str">
        <f t="shared" si="152"/>
        <v>BAJO</v>
      </c>
      <c r="BV226" s="875">
        <f t="shared" si="124"/>
        <v>0.25</v>
      </c>
      <c r="BW226" s="859" t="s">
        <v>1685</v>
      </c>
      <c r="BX226" s="857">
        <f t="shared" si="131"/>
        <v>2.0825</v>
      </c>
      <c r="BY226" s="857">
        <f t="shared" si="132"/>
        <v>0.24752475247524752</v>
      </c>
      <c r="BZ226" s="857">
        <f t="shared" si="133"/>
        <v>0.11296295833333332</v>
      </c>
      <c r="CA226" s="857">
        <f t="shared" si="134"/>
        <v>9.4318181818181815E-2</v>
      </c>
      <c r="CB226" s="16">
        <f t="shared" si="135"/>
        <v>0.5</v>
      </c>
      <c r="CC226" s="16">
        <f t="shared" si="136"/>
        <v>0.5</v>
      </c>
      <c r="CD226" s="16">
        <f t="shared" si="139"/>
        <v>1</v>
      </c>
      <c r="CE226" s="16">
        <f t="shared" si="140"/>
        <v>0.25</v>
      </c>
      <c r="CF226" s="16" t="e">
        <f>SUM(#REF!/(CC226+CB226))</f>
        <v>#REF!</v>
      </c>
      <c r="CG226" s="17"/>
      <c r="CH226" s="17"/>
      <c r="CI226" s="17"/>
      <c r="CJ226" s="17"/>
      <c r="CK226" s="3" t="s">
        <v>165</v>
      </c>
      <c r="CV226" s="346">
        <f t="shared" si="137"/>
        <v>1</v>
      </c>
    </row>
    <row r="227" spans="1:100" s="1" customFormat="1" ht="65.099999999999994" customHeight="1" x14ac:dyDescent="0.25">
      <c r="A227" s="356" t="s">
        <v>79</v>
      </c>
      <c r="B227" s="356" t="s">
        <v>80</v>
      </c>
      <c r="C227" s="356" t="s">
        <v>81</v>
      </c>
      <c r="D227" s="356" t="s">
        <v>82</v>
      </c>
      <c r="E227" s="356" t="s">
        <v>83</v>
      </c>
      <c r="F227" s="356" t="s">
        <v>84</v>
      </c>
      <c r="G227" s="356" t="s">
        <v>85</v>
      </c>
      <c r="H227" s="356" t="s">
        <v>86</v>
      </c>
      <c r="I227" s="356" t="s">
        <v>87</v>
      </c>
      <c r="J227" s="356" t="s">
        <v>88</v>
      </c>
      <c r="K227" s="357" t="s">
        <v>9</v>
      </c>
      <c r="L227" s="357" t="s">
        <v>539</v>
      </c>
      <c r="M227" s="368" t="s">
        <v>190</v>
      </c>
      <c r="N227" s="367" t="s">
        <v>91</v>
      </c>
      <c r="O227" s="367" t="s">
        <v>154</v>
      </c>
      <c r="P227" s="930">
        <v>39542136.277533107</v>
      </c>
      <c r="Q227" s="357" t="s">
        <v>543</v>
      </c>
      <c r="R227" s="357" t="s">
        <v>156</v>
      </c>
      <c r="S227" s="378">
        <v>1</v>
      </c>
      <c r="T227" s="369" t="s">
        <v>191</v>
      </c>
      <c r="U227" s="357" t="s">
        <v>158</v>
      </c>
      <c r="V227" s="357" t="s">
        <v>98</v>
      </c>
      <c r="W227" s="497" t="s">
        <v>634</v>
      </c>
      <c r="X227" s="432">
        <v>0</v>
      </c>
      <c r="Y227" s="432">
        <v>0</v>
      </c>
      <c r="Z227" s="432">
        <v>0.34</v>
      </c>
      <c r="AA227" s="444">
        <v>0.66</v>
      </c>
      <c r="AB227" s="525">
        <v>8.33</v>
      </c>
      <c r="AC227" s="413">
        <v>0.99009900990099009</v>
      </c>
      <c r="AD227" s="413">
        <v>0.45185183333333329</v>
      </c>
      <c r="AE227" s="413">
        <v>0.37727272727272726</v>
      </c>
      <c r="AF227" s="692">
        <f t="shared" si="125"/>
        <v>0</v>
      </c>
      <c r="AG227" s="693" t="s">
        <v>146</v>
      </c>
      <c r="AH227" s="698">
        <v>0</v>
      </c>
      <c r="AI227" s="693"/>
      <c r="AJ227" s="693"/>
      <c r="AK227" s="693"/>
      <c r="AL227" s="692">
        <f t="shared" si="141"/>
        <v>0</v>
      </c>
      <c r="AM227" s="697" t="s">
        <v>121</v>
      </c>
      <c r="AN227" s="693">
        <f t="shared" si="142"/>
        <v>0</v>
      </c>
      <c r="AO227" s="693">
        <f t="shared" si="143"/>
        <v>0</v>
      </c>
      <c r="AP227" s="693">
        <f t="shared" si="144"/>
        <v>0</v>
      </c>
      <c r="AQ227" s="693"/>
      <c r="AR227" s="401">
        <f t="shared" si="126"/>
        <v>0</v>
      </c>
      <c r="AS227" s="402" t="s">
        <v>146</v>
      </c>
      <c r="AT227" s="643">
        <v>0</v>
      </c>
      <c r="AU227" s="626" t="s">
        <v>1686</v>
      </c>
      <c r="AV227" s="743"/>
      <c r="AW227" s="729"/>
      <c r="AX227" s="397">
        <f t="shared" si="146"/>
        <v>0</v>
      </c>
      <c r="AY227" s="626" t="s">
        <v>121</v>
      </c>
      <c r="AZ227" s="398">
        <f t="shared" si="147"/>
        <v>0</v>
      </c>
      <c r="BA227" s="398">
        <f t="shared" si="148"/>
        <v>0</v>
      </c>
      <c r="BB227" s="398">
        <f t="shared" si="149"/>
        <v>0</v>
      </c>
      <c r="BC227" s="15"/>
      <c r="BD227" s="14">
        <f t="shared" si="150"/>
        <v>0.34</v>
      </c>
      <c r="BE227" s="677" t="s">
        <v>100</v>
      </c>
      <c r="BF227" s="681">
        <v>0</v>
      </c>
      <c r="BG227" s="658"/>
      <c r="BH227" s="658"/>
      <c r="BI227" s="658" t="str">
        <f t="shared" si="127"/>
        <v>BAJO</v>
      </c>
      <c r="BJ227" s="681">
        <f t="shared" si="151"/>
        <v>0</v>
      </c>
      <c r="BK227" s="647" t="s">
        <v>1642</v>
      </c>
      <c r="BL227" s="682">
        <f t="shared" si="128"/>
        <v>0</v>
      </c>
      <c r="BM227" s="682">
        <f t="shared" si="129"/>
        <v>0</v>
      </c>
      <c r="BN227" s="682">
        <f t="shared" si="130"/>
        <v>0</v>
      </c>
      <c r="BO227" s="658"/>
      <c r="BP227" s="853">
        <f t="shared" si="138"/>
        <v>0.66</v>
      </c>
      <c r="BQ227" s="854" t="s">
        <v>105</v>
      </c>
      <c r="BR227" s="875">
        <v>1</v>
      </c>
      <c r="BS227" s="858"/>
      <c r="BT227" s="857"/>
      <c r="BU227" s="905" t="str">
        <f t="shared" si="152"/>
        <v>ALTO</v>
      </c>
      <c r="BV227" s="875">
        <f t="shared" si="124"/>
        <v>0.66</v>
      </c>
      <c r="BW227" s="859" t="s">
        <v>1687</v>
      </c>
      <c r="BX227" s="857">
        <f t="shared" si="131"/>
        <v>5.4978000000000007</v>
      </c>
      <c r="BY227" s="857">
        <f t="shared" si="132"/>
        <v>0.65346534653465349</v>
      </c>
      <c r="BZ227" s="857">
        <f t="shared" si="133"/>
        <v>0.29822220999999999</v>
      </c>
      <c r="CA227" s="857">
        <f t="shared" si="134"/>
        <v>0.249</v>
      </c>
      <c r="CB227" s="16">
        <f t="shared" si="135"/>
        <v>1</v>
      </c>
      <c r="CC227" s="16">
        <f t="shared" si="136"/>
        <v>0</v>
      </c>
      <c r="CD227" s="16">
        <f t="shared" si="139"/>
        <v>1</v>
      </c>
      <c r="CE227" s="16">
        <f t="shared" si="140"/>
        <v>0.66</v>
      </c>
      <c r="CF227" s="16" t="e">
        <f>SUM(#REF!/(CC227+CB227))</f>
        <v>#REF!</v>
      </c>
      <c r="CG227" s="17"/>
      <c r="CH227" s="17"/>
      <c r="CI227" s="17"/>
      <c r="CJ227" s="17"/>
      <c r="CK227" s="3" t="s">
        <v>165</v>
      </c>
      <c r="CV227" s="346">
        <f t="shared" si="137"/>
        <v>1</v>
      </c>
    </row>
    <row r="228" spans="1:100" s="1" customFormat="1" ht="65.099999999999994" customHeight="1" x14ac:dyDescent="0.25">
      <c r="A228" s="356" t="s">
        <v>79</v>
      </c>
      <c r="B228" s="356" t="s">
        <v>80</v>
      </c>
      <c r="C228" s="356" t="s">
        <v>81</v>
      </c>
      <c r="D228" s="356" t="s">
        <v>82</v>
      </c>
      <c r="E228" s="356" t="s">
        <v>83</v>
      </c>
      <c r="F228" s="356" t="s">
        <v>84</v>
      </c>
      <c r="G228" s="356" t="s">
        <v>85</v>
      </c>
      <c r="H228" s="356" t="s">
        <v>86</v>
      </c>
      <c r="I228" s="356" t="s">
        <v>87</v>
      </c>
      <c r="J228" s="356" t="s">
        <v>152</v>
      </c>
      <c r="K228" s="357" t="s">
        <v>9</v>
      </c>
      <c r="L228" s="357" t="s">
        <v>539</v>
      </c>
      <c r="M228" s="357" t="s">
        <v>195</v>
      </c>
      <c r="N228" s="367" t="s">
        <v>91</v>
      </c>
      <c r="O228" s="367" t="s">
        <v>154</v>
      </c>
      <c r="P228" s="930">
        <v>39542136.277533107</v>
      </c>
      <c r="Q228" s="357" t="s">
        <v>543</v>
      </c>
      <c r="R228" s="357" t="s">
        <v>156</v>
      </c>
      <c r="S228" s="357">
        <v>7</v>
      </c>
      <c r="T228" s="369" t="s">
        <v>196</v>
      </c>
      <c r="U228" s="357" t="s">
        <v>158</v>
      </c>
      <c r="V228" s="370" t="s">
        <v>98</v>
      </c>
      <c r="W228" s="497" t="s">
        <v>197</v>
      </c>
      <c r="X228" s="432">
        <v>0</v>
      </c>
      <c r="Y228" s="432">
        <f>1/7</f>
        <v>0.14285714285714285</v>
      </c>
      <c r="Z228" s="432">
        <f>3/7</f>
        <v>0.42857142857142855</v>
      </c>
      <c r="AA228" s="444">
        <f>3/7</f>
        <v>0.42857142857142855</v>
      </c>
      <c r="AB228" s="525">
        <v>8.33</v>
      </c>
      <c r="AC228" s="413">
        <v>0.99009900990099009</v>
      </c>
      <c r="AD228" s="413">
        <v>0.45185183333333329</v>
      </c>
      <c r="AE228" s="413">
        <v>0.37727272727272726</v>
      </c>
      <c r="AF228" s="692">
        <f t="shared" si="125"/>
        <v>0</v>
      </c>
      <c r="AG228" s="693" t="s">
        <v>146</v>
      </c>
      <c r="AH228" s="698">
        <v>0</v>
      </c>
      <c r="AI228" s="693"/>
      <c r="AJ228" s="693"/>
      <c r="AK228" s="693"/>
      <c r="AL228" s="692">
        <f t="shared" si="141"/>
        <v>0</v>
      </c>
      <c r="AM228" s="697" t="s">
        <v>121</v>
      </c>
      <c r="AN228" s="693">
        <f t="shared" si="142"/>
        <v>0</v>
      </c>
      <c r="AO228" s="693">
        <f t="shared" si="143"/>
        <v>0</v>
      </c>
      <c r="AP228" s="693">
        <f t="shared" si="144"/>
        <v>0</v>
      </c>
      <c r="AQ228" s="693"/>
      <c r="AR228" s="401">
        <f t="shared" si="126"/>
        <v>0.14285714285714285</v>
      </c>
      <c r="AS228" s="402" t="s">
        <v>100</v>
      </c>
      <c r="AT228" s="643">
        <v>0</v>
      </c>
      <c r="AU228" s="626" t="s">
        <v>1688</v>
      </c>
      <c r="AV228" s="743"/>
      <c r="AW228" s="729" t="str">
        <f t="shared" si="145"/>
        <v>BAJO</v>
      </c>
      <c r="AX228" s="397">
        <f t="shared" si="146"/>
        <v>0</v>
      </c>
      <c r="AY228" s="626" t="s">
        <v>522</v>
      </c>
      <c r="AZ228" s="398">
        <f t="shared" si="147"/>
        <v>0</v>
      </c>
      <c r="BA228" s="398">
        <f t="shared" si="148"/>
        <v>0</v>
      </c>
      <c r="BB228" s="398">
        <f t="shared" si="149"/>
        <v>0</v>
      </c>
      <c r="BC228" s="15"/>
      <c r="BD228" s="14">
        <f t="shared" si="150"/>
        <v>0.42857142857142855</v>
      </c>
      <c r="BE228" s="677" t="s">
        <v>100</v>
      </c>
      <c r="BF228" s="681">
        <v>0</v>
      </c>
      <c r="BG228" s="658"/>
      <c r="BH228" s="658"/>
      <c r="BI228" s="658" t="str">
        <f t="shared" si="127"/>
        <v>BAJO</v>
      </c>
      <c r="BJ228" s="681">
        <f t="shared" si="151"/>
        <v>0</v>
      </c>
      <c r="BK228" s="647" t="s">
        <v>1642</v>
      </c>
      <c r="BL228" s="682">
        <f t="shared" si="128"/>
        <v>0</v>
      </c>
      <c r="BM228" s="682">
        <f t="shared" si="129"/>
        <v>0</v>
      </c>
      <c r="BN228" s="682">
        <f t="shared" si="130"/>
        <v>0</v>
      </c>
      <c r="BO228" s="658"/>
      <c r="BP228" s="853">
        <f t="shared" si="138"/>
        <v>0.42857142857142855</v>
      </c>
      <c r="BQ228" s="854" t="s">
        <v>105</v>
      </c>
      <c r="BR228" s="875">
        <v>0</v>
      </c>
      <c r="BS228" s="858"/>
      <c r="BT228" s="857"/>
      <c r="BU228" s="907" t="str">
        <f t="shared" si="152"/>
        <v>BAJO</v>
      </c>
      <c r="BV228" s="875">
        <f t="shared" si="124"/>
        <v>0</v>
      </c>
      <c r="BW228" s="859" t="s">
        <v>1634</v>
      </c>
      <c r="BX228" s="857">
        <f t="shared" si="131"/>
        <v>0</v>
      </c>
      <c r="BY228" s="857">
        <f t="shared" si="132"/>
        <v>0</v>
      </c>
      <c r="BZ228" s="857">
        <f t="shared" si="133"/>
        <v>0</v>
      </c>
      <c r="CA228" s="857">
        <f t="shared" si="134"/>
        <v>0</v>
      </c>
      <c r="CB228" s="16">
        <f t="shared" si="135"/>
        <v>0.8571428571428571</v>
      </c>
      <c r="CC228" s="16">
        <f t="shared" si="136"/>
        <v>0.14285714285714285</v>
      </c>
      <c r="CD228" s="16">
        <f t="shared" si="139"/>
        <v>1</v>
      </c>
      <c r="CE228" s="16">
        <f t="shared" si="140"/>
        <v>0</v>
      </c>
      <c r="CF228" s="16" t="e">
        <f>SUM(#REF!/(CC228+CB228))</f>
        <v>#REF!</v>
      </c>
      <c r="CG228" s="17"/>
      <c r="CH228" s="17"/>
      <c r="CI228" s="17"/>
      <c r="CJ228" s="17"/>
      <c r="CK228" s="3" t="s">
        <v>165</v>
      </c>
      <c r="CV228" s="346">
        <f t="shared" si="137"/>
        <v>1</v>
      </c>
    </row>
    <row r="229" spans="1:100" s="1" customFormat="1" ht="65.099999999999994" customHeight="1" x14ac:dyDescent="0.25">
      <c r="A229" s="356" t="s">
        <v>79</v>
      </c>
      <c r="B229" s="356" t="s">
        <v>80</v>
      </c>
      <c r="C229" s="356" t="s">
        <v>81</v>
      </c>
      <c r="D229" s="356" t="s">
        <v>82</v>
      </c>
      <c r="E229" s="356" t="s">
        <v>83</v>
      </c>
      <c r="F229" s="356" t="s">
        <v>84</v>
      </c>
      <c r="G229" s="356" t="s">
        <v>85</v>
      </c>
      <c r="H229" s="356" t="s">
        <v>86</v>
      </c>
      <c r="I229" s="356" t="s">
        <v>87</v>
      </c>
      <c r="J229" s="356" t="s">
        <v>152</v>
      </c>
      <c r="K229" s="357" t="s">
        <v>9</v>
      </c>
      <c r="L229" s="357" t="s">
        <v>539</v>
      </c>
      <c r="M229" s="357" t="s">
        <v>201</v>
      </c>
      <c r="N229" s="367" t="s">
        <v>91</v>
      </c>
      <c r="O229" s="367" t="s">
        <v>202</v>
      </c>
      <c r="P229" s="930">
        <v>39542136.277533107</v>
      </c>
      <c r="Q229" s="357" t="s">
        <v>543</v>
      </c>
      <c r="R229" s="357" t="s">
        <v>156</v>
      </c>
      <c r="S229" s="378">
        <v>1</v>
      </c>
      <c r="T229" s="369" t="s">
        <v>203</v>
      </c>
      <c r="U229" s="357" t="s">
        <v>204</v>
      </c>
      <c r="V229" s="357" t="s">
        <v>98</v>
      </c>
      <c r="W229" s="497" t="s">
        <v>205</v>
      </c>
      <c r="X229" s="432">
        <v>0</v>
      </c>
      <c r="Y229" s="432">
        <v>0</v>
      </c>
      <c r="Z229" s="432">
        <v>0</v>
      </c>
      <c r="AA229" s="444">
        <v>1</v>
      </c>
      <c r="AB229" s="525">
        <v>8.33</v>
      </c>
      <c r="AC229" s="413">
        <v>0.99009900990099009</v>
      </c>
      <c r="AD229" s="413">
        <v>0.45185183333333329</v>
      </c>
      <c r="AE229" s="413">
        <v>0.37727272727272726</v>
      </c>
      <c r="AF229" s="692">
        <f t="shared" si="125"/>
        <v>0</v>
      </c>
      <c r="AG229" s="693" t="s">
        <v>146</v>
      </c>
      <c r="AH229" s="698">
        <v>0</v>
      </c>
      <c r="AI229" s="693"/>
      <c r="AJ229" s="693"/>
      <c r="AK229" s="693"/>
      <c r="AL229" s="692">
        <f t="shared" si="141"/>
        <v>0</v>
      </c>
      <c r="AM229" s="697" t="s">
        <v>121</v>
      </c>
      <c r="AN229" s="693">
        <f t="shared" si="142"/>
        <v>0</v>
      </c>
      <c r="AO229" s="693">
        <f t="shared" si="143"/>
        <v>0</v>
      </c>
      <c r="AP229" s="693">
        <f t="shared" si="144"/>
        <v>0</v>
      </c>
      <c r="AQ229" s="693"/>
      <c r="AR229" s="401">
        <f t="shared" si="126"/>
        <v>0</v>
      </c>
      <c r="AS229" s="402" t="s">
        <v>146</v>
      </c>
      <c r="AT229" s="643">
        <v>0</v>
      </c>
      <c r="AU229" s="626" t="s">
        <v>1689</v>
      </c>
      <c r="AV229" s="743"/>
      <c r="AW229" s="729"/>
      <c r="AX229" s="397">
        <f t="shared" si="146"/>
        <v>0</v>
      </c>
      <c r="AY229" s="626" t="s">
        <v>121</v>
      </c>
      <c r="AZ229" s="398">
        <f t="shared" si="147"/>
        <v>0</v>
      </c>
      <c r="BA229" s="398">
        <f t="shared" si="148"/>
        <v>0</v>
      </c>
      <c r="BB229" s="398">
        <f t="shared" si="149"/>
        <v>0</v>
      </c>
      <c r="BC229" s="15"/>
      <c r="BD229" s="14">
        <f t="shared" si="150"/>
        <v>0</v>
      </c>
      <c r="BE229" s="677" t="s">
        <v>146</v>
      </c>
      <c r="BF229" s="681"/>
      <c r="BG229" s="658"/>
      <c r="BH229" s="658"/>
      <c r="BI229" s="658" t="str">
        <f t="shared" si="127"/>
        <v>BAJO</v>
      </c>
      <c r="BJ229" s="681">
        <f t="shared" si="151"/>
        <v>0</v>
      </c>
      <c r="BK229" s="647" t="s">
        <v>1642</v>
      </c>
      <c r="BL229" s="682">
        <f t="shared" si="128"/>
        <v>0</v>
      </c>
      <c r="BM229" s="682">
        <f t="shared" si="129"/>
        <v>0</v>
      </c>
      <c r="BN229" s="682">
        <f t="shared" si="130"/>
        <v>0</v>
      </c>
      <c r="BO229" s="658"/>
      <c r="BP229" s="853">
        <f t="shared" si="138"/>
        <v>1</v>
      </c>
      <c r="BQ229" s="854" t="s">
        <v>105</v>
      </c>
      <c r="BR229" s="875">
        <v>0</v>
      </c>
      <c r="BS229" s="858"/>
      <c r="BT229" s="857"/>
      <c r="BU229" s="907" t="str">
        <f t="shared" si="152"/>
        <v>BAJO</v>
      </c>
      <c r="BV229" s="875">
        <f t="shared" si="124"/>
        <v>0</v>
      </c>
      <c r="BW229" s="859" t="s">
        <v>993</v>
      </c>
      <c r="BX229" s="857">
        <f t="shared" si="131"/>
        <v>0</v>
      </c>
      <c r="BY229" s="857">
        <f t="shared" si="132"/>
        <v>0</v>
      </c>
      <c r="BZ229" s="857">
        <f t="shared" si="133"/>
        <v>0</v>
      </c>
      <c r="CA229" s="857">
        <f t="shared" si="134"/>
        <v>0</v>
      </c>
      <c r="CB229" s="16">
        <f t="shared" si="135"/>
        <v>1</v>
      </c>
      <c r="CC229" s="16">
        <f t="shared" si="136"/>
        <v>0</v>
      </c>
      <c r="CD229" s="16">
        <f t="shared" si="139"/>
        <v>1</v>
      </c>
      <c r="CE229" s="16">
        <f t="shared" si="140"/>
        <v>0</v>
      </c>
      <c r="CF229" s="16" t="e">
        <f>SUM(#REF!/(CC229+CB229))</f>
        <v>#REF!</v>
      </c>
      <c r="CG229" s="17"/>
      <c r="CH229" s="17"/>
      <c r="CI229" s="17"/>
      <c r="CJ229" s="17"/>
      <c r="CK229" s="3" t="s">
        <v>165</v>
      </c>
      <c r="CV229" s="346">
        <f t="shared" si="137"/>
        <v>1</v>
      </c>
    </row>
    <row r="230" spans="1:100" s="1" customFormat="1" ht="65.099999999999994" customHeight="1" x14ac:dyDescent="0.25">
      <c r="A230" s="354" t="s">
        <v>79</v>
      </c>
      <c r="B230" s="354" t="s">
        <v>80</v>
      </c>
      <c r="C230" s="354" t="s">
        <v>81</v>
      </c>
      <c r="D230" s="354" t="s">
        <v>82</v>
      </c>
      <c r="E230" s="354" t="s">
        <v>83</v>
      </c>
      <c r="F230" s="354" t="s">
        <v>84</v>
      </c>
      <c r="G230" s="354" t="s">
        <v>85</v>
      </c>
      <c r="H230" s="354" t="s">
        <v>86</v>
      </c>
      <c r="I230" s="354" t="s">
        <v>87</v>
      </c>
      <c r="J230" s="12" t="s">
        <v>1690</v>
      </c>
      <c r="K230" s="348" t="s">
        <v>1691</v>
      </c>
      <c r="L230" s="348" t="s">
        <v>539</v>
      </c>
      <c r="M230" s="686" t="s">
        <v>1692</v>
      </c>
      <c r="N230" s="361" t="s">
        <v>541</v>
      </c>
      <c r="O230" s="361" t="s">
        <v>1693</v>
      </c>
      <c r="P230" s="922">
        <v>39542136.277533107</v>
      </c>
      <c r="Q230" s="393" t="s">
        <v>543</v>
      </c>
      <c r="R230" s="348" t="s">
        <v>213</v>
      </c>
      <c r="S230" s="384">
        <v>2</v>
      </c>
      <c r="T230" s="394" t="s">
        <v>1694</v>
      </c>
      <c r="U230" s="394" t="s">
        <v>1695</v>
      </c>
      <c r="V230" s="395" t="s">
        <v>119</v>
      </c>
      <c r="W230" s="509" t="s">
        <v>1696</v>
      </c>
      <c r="X230" s="430">
        <v>0</v>
      </c>
      <c r="Y230" s="430">
        <v>0.5</v>
      </c>
      <c r="Z230" s="430">
        <v>0</v>
      </c>
      <c r="AA230" s="431">
        <v>0.5</v>
      </c>
      <c r="AB230" s="525">
        <v>6.7</v>
      </c>
      <c r="AC230" s="413">
        <v>0.99009900990099009</v>
      </c>
      <c r="AD230" s="413">
        <v>0.36148146666666664</v>
      </c>
      <c r="AE230" s="413">
        <v>0.37727272727272726</v>
      </c>
      <c r="AF230" s="692">
        <f t="shared" si="125"/>
        <v>0</v>
      </c>
      <c r="AG230" s="693" t="s">
        <v>146</v>
      </c>
      <c r="AH230" s="698">
        <v>0.5</v>
      </c>
      <c r="AI230" s="697" t="s">
        <v>1697</v>
      </c>
      <c r="AJ230" s="693"/>
      <c r="AK230" s="693"/>
      <c r="AL230" s="692">
        <f t="shared" si="141"/>
        <v>0</v>
      </c>
      <c r="AM230" s="697" t="s">
        <v>121</v>
      </c>
      <c r="AN230" s="693">
        <f t="shared" si="142"/>
        <v>0</v>
      </c>
      <c r="AO230" s="693">
        <f t="shared" si="143"/>
        <v>0</v>
      </c>
      <c r="AP230" s="693">
        <f t="shared" si="144"/>
        <v>0</v>
      </c>
      <c r="AQ230" s="693"/>
      <c r="AR230" s="401">
        <f t="shared" si="126"/>
        <v>0.5</v>
      </c>
      <c r="AS230" s="402" t="s">
        <v>100</v>
      </c>
      <c r="AT230" s="632">
        <f>1/1</f>
        <v>1</v>
      </c>
      <c r="AU230" s="402"/>
      <c r="AV230" s="402"/>
      <c r="AW230" s="729" t="str">
        <f t="shared" si="145"/>
        <v>ALTO</v>
      </c>
      <c r="AX230" s="397">
        <f t="shared" si="146"/>
        <v>0.5</v>
      </c>
      <c r="AY230" s="626" t="s">
        <v>1698</v>
      </c>
      <c r="AZ230" s="398">
        <f t="shared" si="147"/>
        <v>3.35</v>
      </c>
      <c r="BA230" s="398">
        <f t="shared" si="148"/>
        <v>0.49504950495049505</v>
      </c>
      <c r="BB230" s="398">
        <f t="shared" si="149"/>
        <v>0.18074073333333332</v>
      </c>
      <c r="BC230" s="15"/>
      <c r="BD230" s="14">
        <f t="shared" si="150"/>
        <v>0</v>
      </c>
      <c r="BE230" s="677" t="s">
        <v>1354</v>
      </c>
      <c r="BF230" s="681"/>
      <c r="BG230" s="658"/>
      <c r="BH230" s="658"/>
      <c r="BI230" s="658" t="str">
        <f t="shared" si="127"/>
        <v>BAJO</v>
      </c>
      <c r="BJ230" s="681">
        <f t="shared" si="151"/>
        <v>0</v>
      </c>
      <c r="BK230" s="658" t="s">
        <v>1699</v>
      </c>
      <c r="BL230" s="682">
        <f t="shared" si="128"/>
        <v>0</v>
      </c>
      <c r="BM230" s="682">
        <f t="shared" si="129"/>
        <v>0</v>
      </c>
      <c r="BN230" s="682">
        <f t="shared" si="130"/>
        <v>0</v>
      </c>
      <c r="BO230" s="658"/>
      <c r="BP230" s="853">
        <f t="shared" si="138"/>
        <v>0.5</v>
      </c>
      <c r="BQ230" s="854" t="s">
        <v>105</v>
      </c>
      <c r="BR230" s="873">
        <v>0</v>
      </c>
      <c r="BS230" s="874"/>
      <c r="BT230" s="872"/>
      <c r="BU230" s="907" t="str">
        <f t="shared" si="152"/>
        <v>BAJO</v>
      </c>
      <c r="BV230" s="875">
        <f t="shared" si="124"/>
        <v>0</v>
      </c>
      <c r="BW230" s="859" t="s">
        <v>1700</v>
      </c>
      <c r="BX230" s="857">
        <f t="shared" si="131"/>
        <v>0</v>
      </c>
      <c r="BY230" s="857">
        <f t="shared" si="132"/>
        <v>0</v>
      </c>
      <c r="BZ230" s="857">
        <f t="shared" si="133"/>
        <v>0</v>
      </c>
      <c r="CA230" s="857">
        <f t="shared" si="134"/>
        <v>0</v>
      </c>
      <c r="CB230" s="16">
        <f t="shared" si="135"/>
        <v>0.5</v>
      </c>
      <c r="CC230" s="16">
        <f t="shared" si="136"/>
        <v>0.5</v>
      </c>
      <c r="CD230" s="16">
        <f t="shared" si="139"/>
        <v>1</v>
      </c>
      <c r="CE230" s="16">
        <f t="shared" si="140"/>
        <v>0.5</v>
      </c>
      <c r="CF230" s="16" t="e">
        <f>SUM(#REF!/(CC230+CB230))</f>
        <v>#REF!</v>
      </c>
      <c r="CG230" s="17"/>
      <c r="CH230" s="17"/>
      <c r="CI230" s="17"/>
      <c r="CJ230" s="17"/>
      <c r="CV230" s="346">
        <f t="shared" si="137"/>
        <v>1</v>
      </c>
    </row>
    <row r="231" spans="1:100" s="1" customFormat="1" ht="65.099999999999994" customHeight="1" x14ac:dyDescent="0.25">
      <c r="A231" s="354" t="s">
        <v>79</v>
      </c>
      <c r="B231" s="354" t="s">
        <v>80</v>
      </c>
      <c r="C231" s="354" t="s">
        <v>81</v>
      </c>
      <c r="D231" s="354" t="s">
        <v>82</v>
      </c>
      <c r="E231" s="354" t="s">
        <v>83</v>
      </c>
      <c r="F231" s="354" t="s">
        <v>84</v>
      </c>
      <c r="G231" s="354" t="s">
        <v>85</v>
      </c>
      <c r="H231" s="354" t="s">
        <v>86</v>
      </c>
      <c r="I231" s="354" t="s">
        <v>87</v>
      </c>
      <c r="J231" s="12" t="s">
        <v>1690</v>
      </c>
      <c r="K231" s="348" t="s">
        <v>1691</v>
      </c>
      <c r="L231" s="348" t="s">
        <v>539</v>
      </c>
      <c r="M231" s="686" t="s">
        <v>1701</v>
      </c>
      <c r="N231" s="361" t="s">
        <v>541</v>
      </c>
      <c r="O231" s="361" t="s">
        <v>1693</v>
      </c>
      <c r="P231" s="925">
        <v>186150000</v>
      </c>
      <c r="Q231" s="393" t="s">
        <v>543</v>
      </c>
      <c r="R231" s="348" t="s">
        <v>213</v>
      </c>
      <c r="S231" s="384">
        <v>2</v>
      </c>
      <c r="T231" s="355" t="s">
        <v>1702</v>
      </c>
      <c r="U231" s="355" t="s">
        <v>1703</v>
      </c>
      <c r="V231" s="395" t="s">
        <v>119</v>
      </c>
      <c r="W231" s="355" t="s">
        <v>1704</v>
      </c>
      <c r="X231" s="430">
        <v>0</v>
      </c>
      <c r="Y231" s="430">
        <v>0</v>
      </c>
      <c r="Z231" s="430">
        <v>1</v>
      </c>
      <c r="AA231" s="431">
        <v>0</v>
      </c>
      <c r="AB231" s="525">
        <v>6.7</v>
      </c>
      <c r="AC231" s="413">
        <v>0.99009900990099009</v>
      </c>
      <c r="AD231" s="413">
        <v>0.36148146666666664</v>
      </c>
      <c r="AE231" s="413">
        <v>0.37727272727272726</v>
      </c>
      <c r="AF231" s="692">
        <f t="shared" si="125"/>
        <v>0</v>
      </c>
      <c r="AG231" s="693" t="s">
        <v>146</v>
      </c>
      <c r="AH231" s="698">
        <v>0</v>
      </c>
      <c r="AI231" s="693"/>
      <c r="AJ231" s="697"/>
      <c r="AK231" s="693"/>
      <c r="AL231" s="692">
        <f t="shared" si="141"/>
        <v>0</v>
      </c>
      <c r="AM231" s="697" t="s">
        <v>121</v>
      </c>
      <c r="AN231" s="693">
        <f t="shared" si="142"/>
        <v>0</v>
      </c>
      <c r="AO231" s="693">
        <f t="shared" si="143"/>
        <v>0</v>
      </c>
      <c r="AP231" s="693">
        <f t="shared" si="144"/>
        <v>0</v>
      </c>
      <c r="AQ231" s="693"/>
      <c r="AR231" s="401">
        <f t="shared" si="126"/>
        <v>0</v>
      </c>
      <c r="AS231" s="402" t="s">
        <v>146</v>
      </c>
      <c r="AT231" s="632">
        <v>0</v>
      </c>
      <c r="AU231" s="402"/>
      <c r="AV231" s="402"/>
      <c r="AW231" s="729"/>
      <c r="AX231" s="397">
        <f t="shared" si="146"/>
        <v>0</v>
      </c>
      <c r="AY231" s="626" t="s">
        <v>121</v>
      </c>
      <c r="AZ231" s="398">
        <f t="shared" si="147"/>
        <v>0</v>
      </c>
      <c r="BA231" s="398">
        <f t="shared" si="148"/>
        <v>0</v>
      </c>
      <c r="BB231" s="398">
        <f t="shared" si="149"/>
        <v>0</v>
      </c>
      <c r="BC231" s="15"/>
      <c r="BD231" s="14">
        <f t="shared" si="150"/>
        <v>1</v>
      </c>
      <c r="BE231" s="645" t="s">
        <v>100</v>
      </c>
      <c r="BF231" s="681">
        <f>1/2</f>
        <v>0.5</v>
      </c>
      <c r="BG231" s="647" t="s">
        <v>1705</v>
      </c>
      <c r="BH231" s="658"/>
      <c r="BI231" s="658" t="str">
        <f t="shared" si="127"/>
        <v>BAJO</v>
      </c>
      <c r="BJ231" s="681">
        <f t="shared" si="151"/>
        <v>0.5</v>
      </c>
      <c r="BK231" s="647" t="s">
        <v>1706</v>
      </c>
      <c r="BL231" s="682">
        <f t="shared" si="128"/>
        <v>7.4626865671641784E-2</v>
      </c>
      <c r="BM231" s="682">
        <f t="shared" si="129"/>
        <v>0.505</v>
      </c>
      <c r="BN231" s="682">
        <f t="shared" si="130"/>
        <v>1.383196777999868</v>
      </c>
      <c r="BO231" s="658"/>
      <c r="BP231" s="853">
        <f t="shared" si="138"/>
        <v>0</v>
      </c>
      <c r="BQ231" s="854" t="s">
        <v>105</v>
      </c>
      <c r="BR231" s="873">
        <v>0</v>
      </c>
      <c r="BS231" s="874"/>
      <c r="BT231" s="872"/>
      <c r="BU231" s="907" t="str">
        <f t="shared" si="152"/>
        <v>BAJO</v>
      </c>
      <c r="BV231" s="875">
        <f t="shared" si="124"/>
        <v>0</v>
      </c>
      <c r="BW231" s="859" t="s">
        <v>1700</v>
      </c>
      <c r="BX231" s="857">
        <f t="shared" si="131"/>
        <v>0</v>
      </c>
      <c r="BY231" s="857">
        <f t="shared" si="132"/>
        <v>0</v>
      </c>
      <c r="BZ231" s="857">
        <f t="shared" si="133"/>
        <v>0</v>
      </c>
      <c r="CA231" s="857">
        <f t="shared" si="134"/>
        <v>0</v>
      </c>
      <c r="CB231" s="16">
        <f t="shared" si="135"/>
        <v>1</v>
      </c>
      <c r="CC231" s="16">
        <f t="shared" si="136"/>
        <v>0</v>
      </c>
      <c r="CD231" s="16">
        <f t="shared" si="139"/>
        <v>1</v>
      </c>
      <c r="CE231" s="16">
        <f t="shared" si="140"/>
        <v>0.5</v>
      </c>
      <c r="CF231" s="16" t="e">
        <f>SUM(#REF!/(CC231+CB231))</f>
        <v>#REF!</v>
      </c>
      <c r="CG231" s="17"/>
      <c r="CH231" s="17"/>
      <c r="CI231" s="17"/>
      <c r="CJ231" s="17"/>
      <c r="CV231" s="346">
        <f t="shared" si="137"/>
        <v>1</v>
      </c>
    </row>
    <row r="232" spans="1:100" s="1" customFormat="1" ht="65.099999999999994" customHeight="1" x14ac:dyDescent="0.25">
      <c r="A232" s="354" t="s">
        <v>79</v>
      </c>
      <c r="B232" s="354" t="s">
        <v>80</v>
      </c>
      <c r="C232" s="354" t="s">
        <v>81</v>
      </c>
      <c r="D232" s="354" t="s">
        <v>82</v>
      </c>
      <c r="E232" s="354" t="s">
        <v>83</v>
      </c>
      <c r="F232" s="354" t="s">
        <v>84</v>
      </c>
      <c r="G232" s="354" t="s">
        <v>85</v>
      </c>
      <c r="H232" s="354" t="s">
        <v>86</v>
      </c>
      <c r="I232" s="354" t="s">
        <v>87</v>
      </c>
      <c r="J232" s="12" t="s">
        <v>1690</v>
      </c>
      <c r="K232" s="348" t="s">
        <v>1691</v>
      </c>
      <c r="L232" s="348" t="s">
        <v>539</v>
      </c>
      <c r="M232" s="686" t="s">
        <v>1707</v>
      </c>
      <c r="N232" s="361" t="s">
        <v>541</v>
      </c>
      <c r="O232" s="361" t="s">
        <v>1693</v>
      </c>
      <c r="P232" s="925">
        <v>186150000</v>
      </c>
      <c r="Q232" s="348" t="s">
        <v>543</v>
      </c>
      <c r="R232" s="348" t="s">
        <v>213</v>
      </c>
      <c r="S232" s="384">
        <v>3</v>
      </c>
      <c r="T232" s="355" t="s">
        <v>1708</v>
      </c>
      <c r="U232" s="355" t="s">
        <v>1709</v>
      </c>
      <c r="V232" s="384" t="s">
        <v>119</v>
      </c>
      <c r="W232" s="355" t="s">
        <v>1710</v>
      </c>
      <c r="X232" s="430">
        <v>0</v>
      </c>
      <c r="Y232" s="430">
        <v>0.66</v>
      </c>
      <c r="Z232" s="430">
        <v>0.34</v>
      </c>
      <c r="AA232" s="431">
        <v>0</v>
      </c>
      <c r="AB232" s="525">
        <v>6.67</v>
      </c>
      <c r="AC232" s="413">
        <v>0.99009900990099009</v>
      </c>
      <c r="AD232" s="413">
        <v>0.36148146666666664</v>
      </c>
      <c r="AE232" s="413">
        <v>0.37727272727272726</v>
      </c>
      <c r="AF232" s="692">
        <f t="shared" si="125"/>
        <v>0</v>
      </c>
      <c r="AG232" s="693" t="s">
        <v>100</v>
      </c>
      <c r="AH232" s="694">
        <v>0</v>
      </c>
      <c r="AI232" s="693"/>
      <c r="AJ232" s="697"/>
      <c r="AK232" s="693" t="str">
        <f t="shared" ref="AK232:AK248" si="153">+IF(AND(AH232&gt;=0%,AH232&lt;=60%),"BAJO",IF(AND(AH232&gt;=61%,AH232&lt;=80%),"MEDIO","ALTO"))</f>
        <v>BAJO</v>
      </c>
      <c r="AL232" s="692">
        <f t="shared" si="141"/>
        <v>0</v>
      </c>
      <c r="AM232" s="697" t="s">
        <v>522</v>
      </c>
      <c r="AN232" s="693">
        <f t="shared" si="142"/>
        <v>0</v>
      </c>
      <c r="AO232" s="693">
        <f t="shared" si="143"/>
        <v>0</v>
      </c>
      <c r="AP232" s="693">
        <f t="shared" si="144"/>
        <v>0</v>
      </c>
      <c r="AQ232" s="693"/>
      <c r="AR232" s="401">
        <f t="shared" si="126"/>
        <v>0.66</v>
      </c>
      <c r="AS232" s="402" t="s">
        <v>100</v>
      </c>
      <c r="AT232" s="632">
        <f>3/3</f>
        <v>1</v>
      </c>
      <c r="AU232" s="403" t="s">
        <v>1711</v>
      </c>
      <c r="AV232" s="403"/>
      <c r="AW232" s="729" t="str">
        <f t="shared" si="145"/>
        <v>ALTO</v>
      </c>
      <c r="AX232" s="397">
        <f t="shared" si="146"/>
        <v>0.66</v>
      </c>
      <c r="AY232" s="626" t="s">
        <v>102</v>
      </c>
      <c r="AZ232" s="398">
        <f t="shared" si="147"/>
        <v>4.4022000000000006</v>
      </c>
      <c r="BA232" s="398">
        <f t="shared" si="148"/>
        <v>0.65346534653465349</v>
      </c>
      <c r="BB232" s="398">
        <f t="shared" si="149"/>
        <v>0.238577768</v>
      </c>
      <c r="BC232" s="15"/>
      <c r="BD232" s="14">
        <f t="shared" si="150"/>
        <v>0.34</v>
      </c>
      <c r="BE232" s="645" t="s">
        <v>100</v>
      </c>
      <c r="BF232" s="681">
        <v>0</v>
      </c>
      <c r="BG232" s="647" t="s">
        <v>1712</v>
      </c>
      <c r="BH232" s="658"/>
      <c r="BI232" s="658" t="str">
        <f t="shared" si="127"/>
        <v>BAJO</v>
      </c>
      <c r="BJ232" s="681">
        <f t="shared" si="151"/>
        <v>0</v>
      </c>
      <c r="BK232" s="647" t="s">
        <v>1713</v>
      </c>
      <c r="BL232" s="682">
        <f t="shared" si="128"/>
        <v>0</v>
      </c>
      <c r="BM232" s="682">
        <f t="shared" si="129"/>
        <v>0</v>
      </c>
      <c r="BN232" s="682">
        <f t="shared" si="130"/>
        <v>0</v>
      </c>
      <c r="BO232" s="658"/>
      <c r="BP232" s="853">
        <f t="shared" si="138"/>
        <v>0</v>
      </c>
      <c r="BQ232" s="854" t="s">
        <v>105</v>
      </c>
      <c r="BR232" s="873">
        <v>0</v>
      </c>
      <c r="BS232" s="874"/>
      <c r="BT232" s="872"/>
      <c r="BU232" s="907" t="str">
        <f t="shared" si="152"/>
        <v>BAJO</v>
      </c>
      <c r="BV232" s="875">
        <f t="shared" si="124"/>
        <v>0</v>
      </c>
      <c r="BW232" s="859" t="s">
        <v>1700</v>
      </c>
      <c r="BX232" s="857">
        <f t="shared" si="131"/>
        <v>0</v>
      </c>
      <c r="BY232" s="857">
        <f t="shared" si="132"/>
        <v>0</v>
      </c>
      <c r="BZ232" s="857">
        <f t="shared" si="133"/>
        <v>0</v>
      </c>
      <c r="CA232" s="857">
        <f t="shared" si="134"/>
        <v>0</v>
      </c>
      <c r="CB232" s="16">
        <f t="shared" si="135"/>
        <v>0.34</v>
      </c>
      <c r="CC232" s="16">
        <f t="shared" si="136"/>
        <v>0.66</v>
      </c>
      <c r="CD232" s="16">
        <f t="shared" si="139"/>
        <v>1</v>
      </c>
      <c r="CE232" s="16">
        <f t="shared" si="140"/>
        <v>0.66</v>
      </c>
      <c r="CF232" s="16" t="e">
        <f>SUM(#REF!/(CC232+CB232))</f>
        <v>#REF!</v>
      </c>
      <c r="CG232" s="17"/>
      <c r="CH232" s="17"/>
      <c r="CI232" s="17"/>
      <c r="CJ232" s="17"/>
      <c r="CV232" s="346">
        <f t="shared" si="137"/>
        <v>1</v>
      </c>
    </row>
    <row r="233" spans="1:100" s="1" customFormat="1" ht="65.099999999999994" customHeight="1" x14ac:dyDescent="0.25">
      <c r="A233" s="354" t="s">
        <v>79</v>
      </c>
      <c r="B233" s="354" t="s">
        <v>80</v>
      </c>
      <c r="C233" s="354" t="s">
        <v>81</v>
      </c>
      <c r="D233" s="354" t="s">
        <v>82</v>
      </c>
      <c r="E233" s="354" t="s">
        <v>83</v>
      </c>
      <c r="F233" s="354" t="s">
        <v>84</v>
      </c>
      <c r="G233" s="354" t="s">
        <v>85</v>
      </c>
      <c r="H233" s="354" t="s">
        <v>86</v>
      </c>
      <c r="I233" s="354" t="s">
        <v>87</v>
      </c>
      <c r="J233" s="12" t="s">
        <v>1690</v>
      </c>
      <c r="K233" s="348" t="s">
        <v>1691</v>
      </c>
      <c r="L233" s="348" t="s">
        <v>539</v>
      </c>
      <c r="M233" s="686" t="s">
        <v>1714</v>
      </c>
      <c r="N233" s="361" t="s">
        <v>541</v>
      </c>
      <c r="O233" s="361" t="s">
        <v>1693</v>
      </c>
      <c r="P233" s="925">
        <v>186150000</v>
      </c>
      <c r="Q233" s="393" t="s">
        <v>543</v>
      </c>
      <c r="R233" s="348" t="s">
        <v>213</v>
      </c>
      <c r="S233" s="385">
        <v>1</v>
      </c>
      <c r="T233" s="393" t="s">
        <v>1715</v>
      </c>
      <c r="U233" s="355" t="s">
        <v>1716</v>
      </c>
      <c r="V233" s="348" t="s">
        <v>98</v>
      </c>
      <c r="W233" s="355" t="s">
        <v>1717</v>
      </c>
      <c r="X233" s="430">
        <v>0.25</v>
      </c>
      <c r="Y233" s="430">
        <v>0.25</v>
      </c>
      <c r="Z233" s="430">
        <v>0.25</v>
      </c>
      <c r="AA233" s="431">
        <v>0.25</v>
      </c>
      <c r="AB233" s="525">
        <v>6.67</v>
      </c>
      <c r="AC233" s="413">
        <v>0.99009900990099009</v>
      </c>
      <c r="AD233" s="413">
        <v>0.36148146666666664</v>
      </c>
      <c r="AE233" s="413">
        <v>0.37727272727272726</v>
      </c>
      <c r="AF233" s="692">
        <f t="shared" si="125"/>
        <v>0.25</v>
      </c>
      <c r="AG233" s="693" t="s">
        <v>100</v>
      </c>
      <c r="AH233" s="694">
        <f>21/21</f>
        <v>1</v>
      </c>
      <c r="AI233" s="697" t="s">
        <v>1718</v>
      </c>
      <c r="AJ233" s="693"/>
      <c r="AK233" s="693" t="str">
        <f t="shared" si="153"/>
        <v>ALTO</v>
      </c>
      <c r="AL233" s="692">
        <f t="shared" si="141"/>
        <v>0.25</v>
      </c>
      <c r="AM233" s="697" t="s">
        <v>102</v>
      </c>
      <c r="AN233" s="693">
        <f t="shared" si="142"/>
        <v>1.6675</v>
      </c>
      <c r="AO233" s="693">
        <f t="shared" si="143"/>
        <v>0.24752475247524752</v>
      </c>
      <c r="AP233" s="693">
        <f t="shared" si="144"/>
        <v>9.037036666666666E-2</v>
      </c>
      <c r="AQ233" s="693"/>
      <c r="AR233" s="401">
        <f t="shared" si="126"/>
        <v>0.25</v>
      </c>
      <c r="AS233" s="402" t="s">
        <v>100</v>
      </c>
      <c r="AT233" s="632">
        <f>27/27</f>
        <v>1</v>
      </c>
      <c r="AU233" s="403" t="s">
        <v>1719</v>
      </c>
      <c r="AV233" s="402"/>
      <c r="AW233" s="729" t="str">
        <f t="shared" si="145"/>
        <v>ALTO</v>
      </c>
      <c r="AX233" s="397">
        <f t="shared" si="146"/>
        <v>0.25</v>
      </c>
      <c r="AY233" s="626" t="s">
        <v>102</v>
      </c>
      <c r="AZ233" s="398">
        <f t="shared" si="147"/>
        <v>1.6675</v>
      </c>
      <c r="BA233" s="398">
        <f t="shared" si="148"/>
        <v>0.24752475247524752</v>
      </c>
      <c r="BB233" s="398">
        <f t="shared" si="149"/>
        <v>9.037036666666666E-2</v>
      </c>
      <c r="BC233" s="15"/>
      <c r="BD233" s="14">
        <f t="shared" si="150"/>
        <v>0.25</v>
      </c>
      <c r="BE233" s="645" t="s">
        <v>100</v>
      </c>
      <c r="BF233" s="786">
        <v>1</v>
      </c>
      <c r="BG233" s="787" t="s">
        <v>1720</v>
      </c>
      <c r="BH233" s="658"/>
      <c r="BI233" s="658" t="str">
        <f t="shared" si="127"/>
        <v>ALTO</v>
      </c>
      <c r="BJ233" s="681">
        <f t="shared" si="151"/>
        <v>0.25</v>
      </c>
      <c r="BK233" s="647" t="s">
        <v>1721</v>
      </c>
      <c r="BL233" s="682">
        <f t="shared" si="128"/>
        <v>3.7481259370314844E-2</v>
      </c>
      <c r="BM233" s="682">
        <f t="shared" si="129"/>
        <v>0.2525</v>
      </c>
      <c r="BN233" s="682">
        <f t="shared" si="130"/>
        <v>0.69159838899993398</v>
      </c>
      <c r="BO233" s="658"/>
      <c r="BP233" s="853">
        <f t="shared" si="138"/>
        <v>0.25</v>
      </c>
      <c r="BQ233" s="854" t="s">
        <v>105</v>
      </c>
      <c r="BR233" s="873">
        <v>0</v>
      </c>
      <c r="BS233" s="874"/>
      <c r="BT233" s="872"/>
      <c r="BU233" s="907" t="str">
        <f t="shared" si="152"/>
        <v>BAJO</v>
      </c>
      <c r="BV233" s="875">
        <f t="shared" si="124"/>
        <v>0</v>
      </c>
      <c r="BW233" s="859" t="s">
        <v>1700</v>
      </c>
      <c r="BX233" s="857">
        <f t="shared" si="131"/>
        <v>0</v>
      </c>
      <c r="BY233" s="857">
        <f t="shared" si="132"/>
        <v>0</v>
      </c>
      <c r="BZ233" s="857">
        <f t="shared" si="133"/>
        <v>0</v>
      </c>
      <c r="CA233" s="857">
        <f t="shared" si="134"/>
        <v>0</v>
      </c>
      <c r="CB233" s="16">
        <f t="shared" si="135"/>
        <v>0.5</v>
      </c>
      <c r="CC233" s="16">
        <f t="shared" si="136"/>
        <v>0.5</v>
      </c>
      <c r="CD233" s="16">
        <f t="shared" si="139"/>
        <v>1</v>
      </c>
      <c r="CE233" s="16">
        <f t="shared" si="140"/>
        <v>0.75</v>
      </c>
      <c r="CF233" s="16" t="e">
        <f>SUM(#REF!/(CC233+CB233))</f>
        <v>#REF!</v>
      </c>
      <c r="CG233" s="17"/>
      <c r="CH233" s="17"/>
      <c r="CI233" s="17"/>
      <c r="CJ233" s="17"/>
      <c r="CV233" s="346">
        <f t="shared" ref="CV233:CV268" si="154">SUM(X233:AA233)</f>
        <v>1</v>
      </c>
    </row>
    <row r="234" spans="1:100" s="3" customFormat="1" ht="65.099999999999994" customHeight="1" x14ac:dyDescent="0.25">
      <c r="A234" s="354" t="s">
        <v>79</v>
      </c>
      <c r="B234" s="354" t="s">
        <v>80</v>
      </c>
      <c r="C234" s="354" t="s">
        <v>81</v>
      </c>
      <c r="D234" s="354" t="s">
        <v>82</v>
      </c>
      <c r="E234" s="354" t="s">
        <v>83</v>
      </c>
      <c r="F234" s="354" t="s">
        <v>84</v>
      </c>
      <c r="G234" s="354" t="s">
        <v>85</v>
      </c>
      <c r="H234" s="354" t="s">
        <v>86</v>
      </c>
      <c r="I234" s="354" t="s">
        <v>87</v>
      </c>
      <c r="J234" s="12" t="s">
        <v>1690</v>
      </c>
      <c r="K234" s="348" t="s">
        <v>1691</v>
      </c>
      <c r="L234" s="348" t="s">
        <v>539</v>
      </c>
      <c r="M234" s="686" t="s">
        <v>1722</v>
      </c>
      <c r="N234" s="361" t="s">
        <v>541</v>
      </c>
      <c r="O234" s="361" t="s">
        <v>1693</v>
      </c>
      <c r="P234" s="925">
        <v>186150000</v>
      </c>
      <c r="Q234" s="393" t="s">
        <v>543</v>
      </c>
      <c r="R234" s="348" t="s">
        <v>213</v>
      </c>
      <c r="S234" s="384">
        <v>2</v>
      </c>
      <c r="T234" s="355" t="s">
        <v>1723</v>
      </c>
      <c r="U234" s="355" t="s">
        <v>1724</v>
      </c>
      <c r="V234" s="348" t="s">
        <v>119</v>
      </c>
      <c r="W234" s="355" t="s">
        <v>1725</v>
      </c>
      <c r="X234" s="430">
        <v>0</v>
      </c>
      <c r="Y234" s="430">
        <v>0.5</v>
      </c>
      <c r="Z234" s="430">
        <v>0</v>
      </c>
      <c r="AA234" s="431">
        <v>0.5</v>
      </c>
      <c r="AB234" s="525">
        <v>6.66</v>
      </c>
      <c r="AC234" s="413">
        <v>0.99009900990099009</v>
      </c>
      <c r="AD234" s="413">
        <v>0.36148146666666664</v>
      </c>
      <c r="AE234" s="413">
        <v>0.37727272727272726</v>
      </c>
      <c r="AF234" s="692">
        <f t="shared" si="125"/>
        <v>0</v>
      </c>
      <c r="AG234" s="693" t="s">
        <v>146</v>
      </c>
      <c r="AH234" s="698">
        <v>0</v>
      </c>
      <c r="AI234" s="696"/>
      <c r="AJ234" s="695"/>
      <c r="AK234" s="693"/>
      <c r="AL234" s="692">
        <f t="shared" si="141"/>
        <v>0</v>
      </c>
      <c r="AM234" s="695" t="s">
        <v>121</v>
      </c>
      <c r="AN234" s="693">
        <f t="shared" si="142"/>
        <v>0</v>
      </c>
      <c r="AO234" s="693">
        <f t="shared" si="143"/>
        <v>0</v>
      </c>
      <c r="AP234" s="693">
        <f t="shared" si="144"/>
        <v>0</v>
      </c>
      <c r="AQ234" s="696"/>
      <c r="AR234" s="401">
        <f t="shared" si="126"/>
        <v>0.5</v>
      </c>
      <c r="AS234" s="402" t="s">
        <v>100</v>
      </c>
      <c r="AT234" s="632">
        <v>0</v>
      </c>
      <c r="AU234" s="404"/>
      <c r="AV234" s="404"/>
      <c r="AW234" s="729" t="str">
        <f t="shared" si="145"/>
        <v>BAJO</v>
      </c>
      <c r="AX234" s="397">
        <f t="shared" si="146"/>
        <v>0</v>
      </c>
      <c r="AY234" s="626" t="s">
        <v>1726</v>
      </c>
      <c r="AZ234" s="398">
        <f t="shared" si="147"/>
        <v>0</v>
      </c>
      <c r="BA234" s="398">
        <f t="shared" si="148"/>
        <v>0</v>
      </c>
      <c r="BB234" s="398">
        <f t="shared" si="149"/>
        <v>0</v>
      </c>
      <c r="BC234" s="18"/>
      <c r="BD234" s="14">
        <f t="shared" si="150"/>
        <v>0</v>
      </c>
      <c r="BE234" s="645" t="s">
        <v>100</v>
      </c>
      <c r="BF234" s="788"/>
      <c r="BG234" s="787" t="s">
        <v>1727</v>
      </c>
      <c r="BH234" s="754"/>
      <c r="BI234" s="658" t="str">
        <f t="shared" si="127"/>
        <v>BAJO</v>
      </c>
      <c r="BJ234" s="681">
        <f t="shared" si="151"/>
        <v>0</v>
      </c>
      <c r="BK234" s="754" t="s">
        <v>149</v>
      </c>
      <c r="BL234" s="682">
        <f t="shared" si="128"/>
        <v>0</v>
      </c>
      <c r="BM234" s="682">
        <f t="shared" si="129"/>
        <v>0</v>
      </c>
      <c r="BN234" s="682">
        <f t="shared" si="130"/>
        <v>0</v>
      </c>
      <c r="BO234" s="754"/>
      <c r="BP234" s="853">
        <f t="shared" si="138"/>
        <v>0.5</v>
      </c>
      <c r="BQ234" s="854" t="s">
        <v>105</v>
      </c>
      <c r="BR234" s="871">
        <v>0</v>
      </c>
      <c r="BS234" s="859"/>
      <c r="BT234" s="872"/>
      <c r="BU234" s="907" t="str">
        <f t="shared" si="152"/>
        <v>BAJO</v>
      </c>
      <c r="BV234" s="875">
        <f t="shared" si="124"/>
        <v>0</v>
      </c>
      <c r="BW234" s="859" t="s">
        <v>1700</v>
      </c>
      <c r="BX234" s="857">
        <f t="shared" si="131"/>
        <v>0</v>
      </c>
      <c r="BY234" s="857">
        <f t="shared" si="132"/>
        <v>0</v>
      </c>
      <c r="BZ234" s="857">
        <f t="shared" si="133"/>
        <v>0</v>
      </c>
      <c r="CA234" s="857">
        <f t="shared" si="134"/>
        <v>0</v>
      </c>
      <c r="CB234" s="16">
        <f t="shared" si="135"/>
        <v>0.5</v>
      </c>
      <c r="CC234" s="16">
        <f t="shared" si="136"/>
        <v>0.5</v>
      </c>
      <c r="CD234" s="16">
        <f t="shared" si="139"/>
        <v>1</v>
      </c>
      <c r="CE234" s="16">
        <f t="shared" si="140"/>
        <v>0</v>
      </c>
      <c r="CF234" s="16" t="e">
        <f>SUM(#REF!/(CC234+CB234))</f>
        <v>#REF!</v>
      </c>
      <c r="CG234" s="19"/>
      <c r="CH234" s="19"/>
      <c r="CI234" s="19"/>
      <c r="CJ234" s="19"/>
      <c r="CV234" s="346">
        <f t="shared" si="154"/>
        <v>1</v>
      </c>
    </row>
    <row r="235" spans="1:100" s="1" customFormat="1" ht="65.099999999999994" customHeight="1" x14ac:dyDescent="0.25">
      <c r="A235" s="354" t="s">
        <v>79</v>
      </c>
      <c r="B235" s="354" t="s">
        <v>80</v>
      </c>
      <c r="C235" s="354" t="s">
        <v>81</v>
      </c>
      <c r="D235" s="354" t="s">
        <v>82</v>
      </c>
      <c r="E235" s="354" t="s">
        <v>83</v>
      </c>
      <c r="F235" s="354" t="s">
        <v>84</v>
      </c>
      <c r="G235" s="354" t="s">
        <v>85</v>
      </c>
      <c r="H235" s="354" t="s">
        <v>86</v>
      </c>
      <c r="I235" s="354" t="s">
        <v>87</v>
      </c>
      <c r="J235" s="12" t="s">
        <v>1690</v>
      </c>
      <c r="K235" s="348" t="s">
        <v>1691</v>
      </c>
      <c r="L235" s="348" t="s">
        <v>539</v>
      </c>
      <c r="M235" s="686" t="s">
        <v>1728</v>
      </c>
      <c r="N235" s="361" t="s">
        <v>541</v>
      </c>
      <c r="O235" s="361" t="s">
        <v>1693</v>
      </c>
      <c r="P235" s="925">
        <v>186150000</v>
      </c>
      <c r="Q235" s="393" t="s">
        <v>543</v>
      </c>
      <c r="R235" s="348" t="s">
        <v>213</v>
      </c>
      <c r="S235" s="384">
        <v>3</v>
      </c>
      <c r="T235" s="355" t="s">
        <v>1729</v>
      </c>
      <c r="U235" s="355" t="s">
        <v>1730</v>
      </c>
      <c r="V235" s="348" t="s">
        <v>119</v>
      </c>
      <c r="W235" s="355" t="s">
        <v>1731</v>
      </c>
      <c r="X235" s="430">
        <v>0.66</v>
      </c>
      <c r="Y235" s="430">
        <v>0</v>
      </c>
      <c r="Z235" s="430">
        <v>0.34</v>
      </c>
      <c r="AA235" s="431">
        <v>0</v>
      </c>
      <c r="AB235" s="525">
        <v>6.66</v>
      </c>
      <c r="AC235" s="413">
        <v>0.99009900990099009</v>
      </c>
      <c r="AD235" s="413">
        <v>0.36148146666666664</v>
      </c>
      <c r="AE235" s="413">
        <v>0.37727272727272726</v>
      </c>
      <c r="AF235" s="692">
        <f t="shared" si="125"/>
        <v>0.66</v>
      </c>
      <c r="AG235" s="693" t="s">
        <v>100</v>
      </c>
      <c r="AH235" s="694">
        <f>3/3</f>
        <v>1</v>
      </c>
      <c r="AI235" s="697" t="s">
        <v>1732</v>
      </c>
      <c r="AJ235" s="693"/>
      <c r="AK235" s="693" t="str">
        <f t="shared" si="153"/>
        <v>ALTO</v>
      </c>
      <c r="AL235" s="692">
        <f t="shared" si="141"/>
        <v>0.66</v>
      </c>
      <c r="AM235" s="697" t="s">
        <v>102</v>
      </c>
      <c r="AN235" s="693">
        <f t="shared" si="142"/>
        <v>4.3956</v>
      </c>
      <c r="AO235" s="693">
        <f t="shared" si="143"/>
        <v>0.65346534653465349</v>
      </c>
      <c r="AP235" s="693">
        <f t="shared" si="144"/>
        <v>0.238577768</v>
      </c>
      <c r="AQ235" s="693"/>
      <c r="AR235" s="401">
        <f t="shared" si="126"/>
        <v>0</v>
      </c>
      <c r="AS235" s="402" t="s">
        <v>146</v>
      </c>
      <c r="AT235" s="632">
        <v>0</v>
      </c>
      <c r="AU235" s="403"/>
      <c r="AV235" s="402"/>
      <c r="AW235" s="729"/>
      <c r="AX235" s="397">
        <f t="shared" si="146"/>
        <v>0</v>
      </c>
      <c r="AY235" s="626" t="s">
        <v>121</v>
      </c>
      <c r="AZ235" s="398">
        <f t="shared" si="147"/>
        <v>0</v>
      </c>
      <c r="BA235" s="398">
        <f t="shared" si="148"/>
        <v>0</v>
      </c>
      <c r="BB235" s="398">
        <f t="shared" si="149"/>
        <v>0</v>
      </c>
      <c r="BC235" s="15"/>
      <c r="BD235" s="14">
        <f t="shared" si="150"/>
        <v>0.34</v>
      </c>
      <c r="BE235" s="677" t="s">
        <v>100</v>
      </c>
      <c r="BF235" s="681">
        <v>0</v>
      </c>
      <c r="BG235" s="658"/>
      <c r="BH235" s="658"/>
      <c r="BI235" s="658" t="str">
        <f t="shared" si="127"/>
        <v>BAJO</v>
      </c>
      <c r="BJ235" s="681">
        <f t="shared" si="151"/>
        <v>0</v>
      </c>
      <c r="BK235" s="658" t="s">
        <v>1733</v>
      </c>
      <c r="BL235" s="682">
        <f t="shared" si="128"/>
        <v>0</v>
      </c>
      <c r="BM235" s="682">
        <f t="shared" si="129"/>
        <v>0</v>
      </c>
      <c r="BN235" s="682">
        <f t="shared" si="130"/>
        <v>0</v>
      </c>
      <c r="BO235" s="658"/>
      <c r="BP235" s="853">
        <f t="shared" si="138"/>
        <v>0</v>
      </c>
      <c r="BQ235" s="854" t="s">
        <v>105</v>
      </c>
      <c r="BR235" s="873">
        <v>0</v>
      </c>
      <c r="BS235" s="874"/>
      <c r="BT235" s="872"/>
      <c r="BU235" s="907" t="str">
        <f t="shared" si="152"/>
        <v>BAJO</v>
      </c>
      <c r="BV235" s="875">
        <f t="shared" si="124"/>
        <v>0</v>
      </c>
      <c r="BW235" s="859" t="s">
        <v>1700</v>
      </c>
      <c r="BX235" s="857">
        <f t="shared" si="131"/>
        <v>0</v>
      </c>
      <c r="BY235" s="857">
        <f t="shared" si="132"/>
        <v>0</v>
      </c>
      <c r="BZ235" s="857">
        <f t="shared" si="133"/>
        <v>0</v>
      </c>
      <c r="CA235" s="857">
        <f t="shared" si="134"/>
        <v>0</v>
      </c>
      <c r="CB235" s="16">
        <f t="shared" si="135"/>
        <v>0.34</v>
      </c>
      <c r="CC235" s="16">
        <f t="shared" si="136"/>
        <v>0.66</v>
      </c>
      <c r="CD235" s="16">
        <f t="shared" si="139"/>
        <v>1</v>
      </c>
      <c r="CE235" s="16">
        <f t="shared" si="140"/>
        <v>0.66</v>
      </c>
      <c r="CF235" s="16" t="e">
        <f>SUM(#REF!/(CC235+CB235))</f>
        <v>#REF!</v>
      </c>
      <c r="CG235" s="17"/>
      <c r="CH235" s="17"/>
      <c r="CI235" s="17"/>
      <c r="CJ235" s="17"/>
      <c r="CV235" s="346">
        <f t="shared" si="154"/>
        <v>1</v>
      </c>
    </row>
    <row r="236" spans="1:100" s="1" customFormat="1" ht="65.099999999999994" customHeight="1" x14ac:dyDescent="0.25">
      <c r="A236" s="354" t="s">
        <v>79</v>
      </c>
      <c r="B236" s="354" t="s">
        <v>80</v>
      </c>
      <c r="C236" s="354" t="s">
        <v>81</v>
      </c>
      <c r="D236" s="354" t="s">
        <v>82</v>
      </c>
      <c r="E236" s="354" t="s">
        <v>83</v>
      </c>
      <c r="F236" s="354" t="s">
        <v>84</v>
      </c>
      <c r="G236" s="354" t="s">
        <v>85</v>
      </c>
      <c r="H236" s="354" t="s">
        <v>86</v>
      </c>
      <c r="I236" s="354" t="s">
        <v>87</v>
      </c>
      <c r="J236" s="12" t="s">
        <v>1690</v>
      </c>
      <c r="K236" s="348" t="s">
        <v>1691</v>
      </c>
      <c r="L236" s="348" t="s">
        <v>539</v>
      </c>
      <c r="M236" s="686" t="s">
        <v>1734</v>
      </c>
      <c r="N236" s="361" t="s">
        <v>541</v>
      </c>
      <c r="O236" s="361" t="s">
        <v>1735</v>
      </c>
      <c r="P236" s="922">
        <v>39542136.277533107</v>
      </c>
      <c r="Q236" s="393" t="s">
        <v>543</v>
      </c>
      <c r="R236" s="348" t="s">
        <v>213</v>
      </c>
      <c r="S236" s="384">
        <v>3</v>
      </c>
      <c r="T236" s="394" t="s">
        <v>1694</v>
      </c>
      <c r="U236" s="394" t="s">
        <v>1736</v>
      </c>
      <c r="V236" s="395" t="s">
        <v>119</v>
      </c>
      <c r="W236" s="509" t="s">
        <v>1737</v>
      </c>
      <c r="X236" s="430">
        <v>0</v>
      </c>
      <c r="Y236" s="430">
        <v>0.33</v>
      </c>
      <c r="Z236" s="430">
        <v>0.33</v>
      </c>
      <c r="AA236" s="431">
        <v>0.34</v>
      </c>
      <c r="AB236" s="525">
        <v>6.66</v>
      </c>
      <c r="AC236" s="413">
        <v>0.99009900990099009</v>
      </c>
      <c r="AD236" s="413">
        <v>0.36148146666666664</v>
      </c>
      <c r="AE236" s="413">
        <v>0.37727272727272726</v>
      </c>
      <c r="AF236" s="692">
        <f t="shared" si="125"/>
        <v>0</v>
      </c>
      <c r="AG236" s="693" t="s">
        <v>146</v>
      </c>
      <c r="AH236" s="698">
        <v>0</v>
      </c>
      <c r="AI236" s="693"/>
      <c r="AJ236" s="693"/>
      <c r="AK236" s="693" t="str">
        <f t="shared" si="153"/>
        <v>BAJO</v>
      </c>
      <c r="AL236" s="692">
        <f t="shared" si="141"/>
        <v>0</v>
      </c>
      <c r="AM236" s="697" t="s">
        <v>522</v>
      </c>
      <c r="AN236" s="693">
        <f t="shared" si="142"/>
        <v>0</v>
      </c>
      <c r="AO236" s="693">
        <f t="shared" si="143"/>
        <v>0</v>
      </c>
      <c r="AP236" s="693">
        <f t="shared" si="144"/>
        <v>0</v>
      </c>
      <c r="AQ236" s="693"/>
      <c r="AR236" s="401">
        <f t="shared" si="126"/>
        <v>0.33</v>
      </c>
      <c r="AS236" s="402" t="s">
        <v>100</v>
      </c>
      <c r="AT236" s="632">
        <v>0</v>
      </c>
      <c r="AU236" s="403"/>
      <c r="AV236" s="402"/>
      <c r="AW236" s="729" t="str">
        <f t="shared" si="145"/>
        <v>BAJO</v>
      </c>
      <c r="AX236" s="397">
        <f t="shared" si="146"/>
        <v>0</v>
      </c>
      <c r="AY236" s="626" t="s">
        <v>522</v>
      </c>
      <c r="AZ236" s="398">
        <f t="shared" si="147"/>
        <v>0</v>
      </c>
      <c r="BA236" s="398">
        <f t="shared" si="148"/>
        <v>0</v>
      </c>
      <c r="BB236" s="398">
        <f t="shared" si="149"/>
        <v>0</v>
      </c>
      <c r="BC236" s="15"/>
      <c r="BD236" s="14">
        <f t="shared" si="150"/>
        <v>0.33</v>
      </c>
      <c r="BE236" s="645" t="s">
        <v>1354</v>
      </c>
      <c r="BF236" s="681">
        <v>0</v>
      </c>
      <c r="BG236" s="658"/>
      <c r="BH236" s="658"/>
      <c r="BI236" s="658" t="str">
        <f t="shared" si="127"/>
        <v>BAJO</v>
      </c>
      <c r="BJ236" s="681">
        <f t="shared" si="151"/>
        <v>0</v>
      </c>
      <c r="BK236" s="658" t="s">
        <v>1738</v>
      </c>
      <c r="BL236" s="682">
        <f t="shared" si="128"/>
        <v>0</v>
      </c>
      <c r="BM236" s="682">
        <f t="shared" si="129"/>
        <v>0</v>
      </c>
      <c r="BN236" s="682">
        <f t="shared" si="130"/>
        <v>0</v>
      </c>
      <c r="BO236" s="658"/>
      <c r="BP236" s="853">
        <f t="shared" ref="BP236:BP268" si="155">AA236</f>
        <v>0.34</v>
      </c>
      <c r="BQ236" s="854" t="s">
        <v>105</v>
      </c>
      <c r="BR236" s="873">
        <v>0</v>
      </c>
      <c r="BS236" s="874"/>
      <c r="BT236" s="872"/>
      <c r="BU236" s="907" t="str">
        <f t="shared" si="152"/>
        <v>BAJO</v>
      </c>
      <c r="BV236" s="875">
        <f t="shared" si="124"/>
        <v>0</v>
      </c>
      <c r="BW236" s="859" t="s">
        <v>1700</v>
      </c>
      <c r="BX236" s="857">
        <f t="shared" si="131"/>
        <v>0</v>
      </c>
      <c r="BY236" s="857">
        <f t="shared" si="132"/>
        <v>0</v>
      </c>
      <c r="BZ236" s="857">
        <f t="shared" si="133"/>
        <v>0</v>
      </c>
      <c r="CA236" s="857">
        <f t="shared" si="134"/>
        <v>0</v>
      </c>
      <c r="CB236" s="16">
        <f t="shared" si="135"/>
        <v>0.67</v>
      </c>
      <c r="CC236" s="16">
        <f t="shared" si="136"/>
        <v>0.33</v>
      </c>
      <c r="CD236" s="16">
        <f t="shared" si="139"/>
        <v>1</v>
      </c>
      <c r="CE236" s="16">
        <f t="shared" si="140"/>
        <v>0</v>
      </c>
      <c r="CF236" s="16" t="e">
        <f>SUM(#REF!/(CC236+CB236))</f>
        <v>#REF!</v>
      </c>
      <c r="CG236" s="17"/>
      <c r="CH236" s="17"/>
      <c r="CI236" s="17"/>
      <c r="CJ236" s="17"/>
      <c r="CV236" s="346">
        <f t="shared" si="154"/>
        <v>1</v>
      </c>
    </row>
    <row r="237" spans="1:100" s="1" customFormat="1" ht="65.099999999999994" customHeight="1" x14ac:dyDescent="0.25">
      <c r="A237" s="354" t="s">
        <v>79</v>
      </c>
      <c r="B237" s="354" t="s">
        <v>80</v>
      </c>
      <c r="C237" s="354" t="s">
        <v>81</v>
      </c>
      <c r="D237" s="354" t="s">
        <v>82</v>
      </c>
      <c r="E237" s="354" t="s">
        <v>83</v>
      </c>
      <c r="F237" s="354" t="s">
        <v>84</v>
      </c>
      <c r="G237" s="354" t="s">
        <v>85</v>
      </c>
      <c r="H237" s="354" t="s">
        <v>86</v>
      </c>
      <c r="I237" s="354" t="s">
        <v>87</v>
      </c>
      <c r="J237" s="12" t="s">
        <v>1690</v>
      </c>
      <c r="K237" s="348" t="s">
        <v>1691</v>
      </c>
      <c r="L237" s="348" t="s">
        <v>539</v>
      </c>
      <c r="M237" s="686" t="s">
        <v>1739</v>
      </c>
      <c r="N237" s="361" t="s">
        <v>541</v>
      </c>
      <c r="O237" s="361" t="s">
        <v>1693</v>
      </c>
      <c r="P237" s="922">
        <v>39542136.277533107</v>
      </c>
      <c r="Q237" s="393" t="s">
        <v>543</v>
      </c>
      <c r="R237" s="348" t="s">
        <v>213</v>
      </c>
      <c r="S237" s="384">
        <v>2</v>
      </c>
      <c r="T237" s="394" t="s">
        <v>1694</v>
      </c>
      <c r="U237" s="394" t="s">
        <v>1736</v>
      </c>
      <c r="V237" s="395" t="s">
        <v>119</v>
      </c>
      <c r="W237" s="509" t="s">
        <v>1737</v>
      </c>
      <c r="X237" s="430">
        <v>0</v>
      </c>
      <c r="Y237" s="430">
        <v>0</v>
      </c>
      <c r="Z237" s="430">
        <v>0.5</v>
      </c>
      <c r="AA237" s="431">
        <v>0.5</v>
      </c>
      <c r="AB237" s="525">
        <v>6.66</v>
      </c>
      <c r="AC237" s="413">
        <v>0.99009900990099009</v>
      </c>
      <c r="AD237" s="413">
        <v>0.36148146666666664</v>
      </c>
      <c r="AE237" s="413">
        <v>0.37727272727272726</v>
      </c>
      <c r="AF237" s="692">
        <f t="shared" si="125"/>
        <v>0</v>
      </c>
      <c r="AG237" s="693" t="s">
        <v>100</v>
      </c>
      <c r="AH237" s="694">
        <v>0</v>
      </c>
      <c r="AI237" s="693"/>
      <c r="AJ237" s="697"/>
      <c r="AK237" s="693" t="str">
        <f t="shared" si="153"/>
        <v>BAJO</v>
      </c>
      <c r="AL237" s="692">
        <f t="shared" si="141"/>
        <v>0</v>
      </c>
      <c r="AM237" s="697" t="s">
        <v>522</v>
      </c>
      <c r="AN237" s="693">
        <f t="shared" si="142"/>
        <v>0</v>
      </c>
      <c r="AO237" s="693">
        <f t="shared" si="143"/>
        <v>0</v>
      </c>
      <c r="AP237" s="693">
        <f t="shared" si="144"/>
        <v>0</v>
      </c>
      <c r="AQ237" s="693"/>
      <c r="AR237" s="401">
        <f t="shared" si="126"/>
        <v>0</v>
      </c>
      <c r="AS237" s="402" t="s">
        <v>146</v>
      </c>
      <c r="AT237" s="632">
        <v>0</v>
      </c>
      <c r="AU237" s="403"/>
      <c r="AV237" s="402"/>
      <c r="AW237" s="729" t="str">
        <f t="shared" si="145"/>
        <v>BAJO</v>
      </c>
      <c r="AX237" s="397">
        <f t="shared" si="146"/>
        <v>0</v>
      </c>
      <c r="AY237" s="626" t="s">
        <v>522</v>
      </c>
      <c r="AZ237" s="398">
        <f t="shared" si="147"/>
        <v>0</v>
      </c>
      <c r="BA237" s="398">
        <f t="shared" si="148"/>
        <v>0</v>
      </c>
      <c r="BB237" s="398">
        <f t="shared" si="149"/>
        <v>0</v>
      </c>
      <c r="BC237" s="15"/>
      <c r="BD237" s="14">
        <f t="shared" si="150"/>
        <v>0.5</v>
      </c>
      <c r="BE237" s="645" t="s">
        <v>100</v>
      </c>
      <c r="BF237" s="681">
        <v>0</v>
      </c>
      <c r="BG237" s="658"/>
      <c r="BH237" s="658"/>
      <c r="BI237" s="658" t="str">
        <f t="shared" si="127"/>
        <v>BAJO</v>
      </c>
      <c r="BJ237" s="681">
        <f t="shared" si="151"/>
        <v>0</v>
      </c>
      <c r="BK237" s="658" t="s">
        <v>1733</v>
      </c>
      <c r="BL237" s="682">
        <f t="shared" si="128"/>
        <v>0</v>
      </c>
      <c r="BM237" s="682">
        <f t="shared" si="129"/>
        <v>0</v>
      </c>
      <c r="BN237" s="682">
        <f t="shared" si="130"/>
        <v>0</v>
      </c>
      <c r="BO237" s="658"/>
      <c r="BP237" s="853">
        <f t="shared" si="155"/>
        <v>0.5</v>
      </c>
      <c r="BQ237" s="854" t="s">
        <v>105</v>
      </c>
      <c r="BR237" s="873">
        <v>0</v>
      </c>
      <c r="BS237" s="874"/>
      <c r="BT237" s="872"/>
      <c r="BU237" s="907" t="str">
        <f t="shared" si="152"/>
        <v>BAJO</v>
      </c>
      <c r="BV237" s="875">
        <f t="shared" si="124"/>
        <v>0</v>
      </c>
      <c r="BW237" s="859" t="s">
        <v>1700</v>
      </c>
      <c r="BX237" s="857">
        <f t="shared" si="131"/>
        <v>0</v>
      </c>
      <c r="BY237" s="857">
        <f t="shared" si="132"/>
        <v>0</v>
      </c>
      <c r="BZ237" s="857">
        <f t="shared" si="133"/>
        <v>0</v>
      </c>
      <c r="CA237" s="857">
        <f t="shared" si="134"/>
        <v>0</v>
      </c>
      <c r="CB237" s="16">
        <f t="shared" si="135"/>
        <v>1</v>
      </c>
      <c r="CC237" s="16">
        <f t="shared" si="136"/>
        <v>0</v>
      </c>
      <c r="CD237" s="16">
        <f t="shared" si="139"/>
        <v>1</v>
      </c>
      <c r="CE237" s="16">
        <f t="shared" si="140"/>
        <v>0</v>
      </c>
      <c r="CF237" s="16" t="e">
        <f>SUM(#REF!/(CC237+CB237))</f>
        <v>#REF!</v>
      </c>
      <c r="CG237" s="17"/>
      <c r="CH237" s="17"/>
      <c r="CI237" s="17"/>
      <c r="CJ237" s="17"/>
      <c r="CV237" s="346">
        <f t="shared" si="154"/>
        <v>1</v>
      </c>
    </row>
    <row r="238" spans="1:100" s="1" customFormat="1" ht="65.099999999999994" customHeight="1" x14ac:dyDescent="0.25">
      <c r="A238" s="356" t="s">
        <v>79</v>
      </c>
      <c r="B238" s="356" t="s">
        <v>80</v>
      </c>
      <c r="C238" s="356" t="s">
        <v>81</v>
      </c>
      <c r="D238" s="356" t="s">
        <v>82</v>
      </c>
      <c r="E238" s="356" t="s">
        <v>83</v>
      </c>
      <c r="F238" s="356" t="s">
        <v>84</v>
      </c>
      <c r="G238" s="356" t="s">
        <v>85</v>
      </c>
      <c r="H238" s="356" t="s">
        <v>86</v>
      </c>
      <c r="I238" s="356" t="s">
        <v>87</v>
      </c>
      <c r="J238" s="356" t="s">
        <v>152</v>
      </c>
      <c r="K238" s="357" t="s">
        <v>1691</v>
      </c>
      <c r="L238" s="357" t="s">
        <v>539</v>
      </c>
      <c r="M238" s="357" t="s">
        <v>153</v>
      </c>
      <c r="N238" s="367" t="s">
        <v>91</v>
      </c>
      <c r="O238" s="367" t="s">
        <v>154</v>
      </c>
      <c r="P238" s="930">
        <v>39542136.277533107</v>
      </c>
      <c r="Q238" s="357" t="s">
        <v>543</v>
      </c>
      <c r="R238" s="357" t="s">
        <v>156</v>
      </c>
      <c r="S238" s="357">
        <v>3</v>
      </c>
      <c r="T238" s="369" t="s">
        <v>157</v>
      </c>
      <c r="U238" s="357" t="s">
        <v>158</v>
      </c>
      <c r="V238" s="370" t="s">
        <v>98</v>
      </c>
      <c r="W238" s="497" t="s">
        <v>159</v>
      </c>
      <c r="X238" s="432">
        <v>0</v>
      </c>
      <c r="Y238" s="432">
        <v>0.34</v>
      </c>
      <c r="Z238" s="432">
        <v>0.33</v>
      </c>
      <c r="AA238" s="444">
        <v>0.33</v>
      </c>
      <c r="AB238" s="525">
        <v>6.66</v>
      </c>
      <c r="AC238" s="413">
        <v>0.99009900990099009</v>
      </c>
      <c r="AD238" s="413">
        <v>0.36148146666666664</v>
      </c>
      <c r="AE238" s="413">
        <v>0.37727272727272726</v>
      </c>
      <c r="AF238" s="692">
        <f t="shared" si="125"/>
        <v>0</v>
      </c>
      <c r="AG238" s="693" t="s">
        <v>146</v>
      </c>
      <c r="AH238" s="694">
        <v>0</v>
      </c>
      <c r="AI238" s="693"/>
      <c r="AJ238" s="697"/>
      <c r="AK238" s="693"/>
      <c r="AL238" s="692">
        <f t="shared" si="141"/>
        <v>0</v>
      </c>
      <c r="AM238" s="697" t="s">
        <v>121</v>
      </c>
      <c r="AN238" s="693">
        <f t="shared" si="142"/>
        <v>0</v>
      </c>
      <c r="AO238" s="693">
        <f t="shared" si="143"/>
        <v>0</v>
      </c>
      <c r="AP238" s="693">
        <f t="shared" si="144"/>
        <v>0</v>
      </c>
      <c r="AQ238" s="693"/>
      <c r="AR238" s="401">
        <f t="shared" si="126"/>
        <v>0.34</v>
      </c>
      <c r="AS238" s="402" t="s">
        <v>100</v>
      </c>
      <c r="AT238" s="632">
        <v>0</v>
      </c>
      <c r="AU238" s="403"/>
      <c r="AV238" s="402"/>
      <c r="AW238" s="729" t="str">
        <f t="shared" si="145"/>
        <v>BAJO</v>
      </c>
      <c r="AX238" s="397">
        <f t="shared" si="146"/>
        <v>0</v>
      </c>
      <c r="AY238" s="626" t="s">
        <v>522</v>
      </c>
      <c r="AZ238" s="398">
        <f t="shared" si="147"/>
        <v>0</v>
      </c>
      <c r="BA238" s="398">
        <f t="shared" si="148"/>
        <v>0</v>
      </c>
      <c r="BB238" s="398">
        <f t="shared" si="149"/>
        <v>0</v>
      </c>
      <c r="BC238" s="15"/>
      <c r="BD238" s="14">
        <f t="shared" si="150"/>
        <v>0.33</v>
      </c>
      <c r="BE238" s="677" t="s">
        <v>100</v>
      </c>
      <c r="BF238" s="681">
        <v>0</v>
      </c>
      <c r="BG238" s="658"/>
      <c r="BH238" s="658"/>
      <c r="BI238" s="658" t="str">
        <f t="shared" si="127"/>
        <v>BAJO</v>
      </c>
      <c r="BJ238" s="681">
        <f t="shared" si="151"/>
        <v>0</v>
      </c>
      <c r="BK238" s="658" t="s">
        <v>1740</v>
      </c>
      <c r="BL238" s="682">
        <f t="shared" si="128"/>
        <v>0</v>
      </c>
      <c r="BM238" s="682">
        <f t="shared" si="129"/>
        <v>0</v>
      </c>
      <c r="BN238" s="682">
        <f t="shared" si="130"/>
        <v>0</v>
      </c>
      <c r="BO238" s="658"/>
      <c r="BP238" s="853">
        <f t="shared" si="155"/>
        <v>0.33</v>
      </c>
      <c r="BQ238" s="854" t="s">
        <v>105</v>
      </c>
      <c r="BR238" s="873">
        <v>0</v>
      </c>
      <c r="BS238" s="874"/>
      <c r="BT238" s="872"/>
      <c r="BU238" s="907" t="str">
        <f t="shared" si="152"/>
        <v>BAJO</v>
      </c>
      <c r="BV238" s="875">
        <f t="shared" si="124"/>
        <v>0</v>
      </c>
      <c r="BW238" s="859" t="s">
        <v>853</v>
      </c>
      <c r="BX238" s="857">
        <f t="shared" si="131"/>
        <v>0</v>
      </c>
      <c r="BY238" s="857">
        <f t="shared" si="132"/>
        <v>0</v>
      </c>
      <c r="BZ238" s="857">
        <f t="shared" si="133"/>
        <v>0</v>
      </c>
      <c r="CA238" s="857">
        <f t="shared" si="134"/>
        <v>0</v>
      </c>
      <c r="CB238" s="16">
        <f t="shared" si="135"/>
        <v>0.66</v>
      </c>
      <c r="CC238" s="16">
        <f t="shared" si="136"/>
        <v>0.34</v>
      </c>
      <c r="CD238" s="16">
        <f t="shared" ref="CD238:CD244" si="156">SUM(X238+Y238+Z238+AA238)</f>
        <v>1</v>
      </c>
      <c r="CE238" s="16">
        <f t="shared" si="140"/>
        <v>0</v>
      </c>
      <c r="CF238" s="16" t="e">
        <f>SUM(#REF!/(CC238+CB238))</f>
        <v>#REF!</v>
      </c>
      <c r="CG238" s="17"/>
      <c r="CH238" s="17"/>
      <c r="CI238" s="17"/>
      <c r="CJ238" s="17"/>
      <c r="CK238" s="3" t="s">
        <v>165</v>
      </c>
      <c r="CV238" s="346">
        <f t="shared" si="154"/>
        <v>1</v>
      </c>
    </row>
    <row r="239" spans="1:100" s="1" customFormat="1" ht="65.099999999999994" customHeight="1" x14ac:dyDescent="0.25">
      <c r="A239" s="356" t="s">
        <v>79</v>
      </c>
      <c r="B239" s="356" t="s">
        <v>80</v>
      </c>
      <c r="C239" s="356" t="s">
        <v>81</v>
      </c>
      <c r="D239" s="356" t="s">
        <v>82</v>
      </c>
      <c r="E239" s="356" t="s">
        <v>83</v>
      </c>
      <c r="F239" s="356" t="s">
        <v>84</v>
      </c>
      <c r="G239" s="356" t="s">
        <v>85</v>
      </c>
      <c r="H239" s="356" t="s">
        <v>86</v>
      </c>
      <c r="I239" s="356" t="s">
        <v>87</v>
      </c>
      <c r="J239" s="356" t="s">
        <v>152</v>
      </c>
      <c r="K239" s="357" t="s">
        <v>1691</v>
      </c>
      <c r="L239" s="357" t="s">
        <v>539</v>
      </c>
      <c r="M239" s="357" t="s">
        <v>166</v>
      </c>
      <c r="N239" s="367" t="s">
        <v>91</v>
      </c>
      <c r="O239" s="367" t="s">
        <v>154</v>
      </c>
      <c r="P239" s="930">
        <v>39542136.277533107</v>
      </c>
      <c r="Q239" s="357" t="s">
        <v>543</v>
      </c>
      <c r="R239" s="357" t="s">
        <v>156</v>
      </c>
      <c r="S239" s="357">
        <v>3</v>
      </c>
      <c r="T239" s="377" t="s">
        <v>167</v>
      </c>
      <c r="U239" s="357" t="s">
        <v>168</v>
      </c>
      <c r="V239" s="357" t="s">
        <v>98</v>
      </c>
      <c r="W239" s="497" t="s">
        <v>616</v>
      </c>
      <c r="X239" s="432">
        <v>0</v>
      </c>
      <c r="Y239" s="432">
        <v>0.34</v>
      </c>
      <c r="Z239" s="432">
        <v>0.33</v>
      </c>
      <c r="AA239" s="444">
        <v>0.33</v>
      </c>
      <c r="AB239" s="525">
        <v>6.66</v>
      </c>
      <c r="AC239" s="413">
        <v>0.99009900990099009</v>
      </c>
      <c r="AD239" s="413">
        <v>0.36148146666666664</v>
      </c>
      <c r="AE239" s="413">
        <v>0.37727272727272726</v>
      </c>
      <c r="AF239" s="692">
        <f t="shared" si="125"/>
        <v>0</v>
      </c>
      <c r="AG239" s="693" t="s">
        <v>146</v>
      </c>
      <c r="AH239" s="694">
        <v>0</v>
      </c>
      <c r="AI239" s="693"/>
      <c r="AJ239" s="697"/>
      <c r="AK239" s="693"/>
      <c r="AL239" s="692">
        <f t="shared" si="141"/>
        <v>0</v>
      </c>
      <c r="AM239" s="697" t="s">
        <v>121</v>
      </c>
      <c r="AN239" s="693">
        <f t="shared" si="142"/>
        <v>0</v>
      </c>
      <c r="AO239" s="693">
        <f t="shared" si="143"/>
        <v>0</v>
      </c>
      <c r="AP239" s="693">
        <f t="shared" si="144"/>
        <v>0</v>
      </c>
      <c r="AQ239" s="693"/>
      <c r="AR239" s="401">
        <f t="shared" si="126"/>
        <v>0.34</v>
      </c>
      <c r="AS239" s="402" t="s">
        <v>100</v>
      </c>
      <c r="AT239" s="632">
        <f>1/1</f>
        <v>1</v>
      </c>
      <c r="AU239" s="403"/>
      <c r="AV239" s="402"/>
      <c r="AW239" s="729" t="str">
        <f t="shared" si="145"/>
        <v>ALTO</v>
      </c>
      <c r="AX239" s="397">
        <f t="shared" si="146"/>
        <v>0.34</v>
      </c>
      <c r="AY239" s="626" t="s">
        <v>522</v>
      </c>
      <c r="AZ239" s="398">
        <f t="shared" si="147"/>
        <v>2.2644000000000002</v>
      </c>
      <c r="BA239" s="398">
        <f t="shared" si="148"/>
        <v>0.33663366336633666</v>
      </c>
      <c r="BB239" s="398">
        <f t="shared" si="149"/>
        <v>0.12290369866666667</v>
      </c>
      <c r="BC239" s="15"/>
      <c r="BD239" s="14">
        <f t="shared" si="150"/>
        <v>0.33</v>
      </c>
      <c r="BE239" s="677" t="s">
        <v>100</v>
      </c>
      <c r="BF239" s="681">
        <v>0</v>
      </c>
      <c r="BG239" s="658"/>
      <c r="BH239" s="658"/>
      <c r="BI239" s="658" t="str">
        <f t="shared" si="127"/>
        <v>BAJO</v>
      </c>
      <c r="BJ239" s="681">
        <f t="shared" si="151"/>
        <v>0</v>
      </c>
      <c r="BK239" s="658" t="s">
        <v>1741</v>
      </c>
      <c r="BL239" s="682">
        <f t="shared" si="128"/>
        <v>0</v>
      </c>
      <c r="BM239" s="682">
        <f t="shared" si="129"/>
        <v>0</v>
      </c>
      <c r="BN239" s="682">
        <f t="shared" si="130"/>
        <v>0</v>
      </c>
      <c r="BO239" s="658"/>
      <c r="BP239" s="853">
        <f t="shared" si="155"/>
        <v>0.33</v>
      </c>
      <c r="BQ239" s="854" t="s">
        <v>105</v>
      </c>
      <c r="BR239" s="875">
        <v>0</v>
      </c>
      <c r="BS239" s="874"/>
      <c r="BT239" s="872"/>
      <c r="BU239" s="907" t="str">
        <f t="shared" si="152"/>
        <v>BAJO</v>
      </c>
      <c r="BV239" s="875">
        <f t="shared" si="124"/>
        <v>0</v>
      </c>
      <c r="BW239" s="859" t="s">
        <v>1681</v>
      </c>
      <c r="BX239" s="857">
        <f t="shared" si="131"/>
        <v>0</v>
      </c>
      <c r="BY239" s="857">
        <f t="shared" si="132"/>
        <v>0</v>
      </c>
      <c r="BZ239" s="857">
        <f t="shared" si="133"/>
        <v>0</v>
      </c>
      <c r="CA239" s="857">
        <f t="shared" si="134"/>
        <v>0</v>
      </c>
      <c r="CB239" s="16">
        <f t="shared" si="135"/>
        <v>0.66</v>
      </c>
      <c r="CC239" s="16">
        <f t="shared" si="136"/>
        <v>0.34</v>
      </c>
      <c r="CD239" s="16">
        <f t="shared" si="156"/>
        <v>1</v>
      </c>
      <c r="CE239" s="16">
        <f t="shared" si="140"/>
        <v>0.34</v>
      </c>
      <c r="CF239" s="16" t="e">
        <f>SUM(#REF!/(CC239+CB239))</f>
        <v>#REF!</v>
      </c>
      <c r="CG239" s="17"/>
      <c r="CH239" s="17"/>
      <c r="CI239" s="17"/>
      <c r="CJ239" s="17"/>
      <c r="CK239" s="3" t="s">
        <v>165</v>
      </c>
      <c r="CV239" s="346">
        <f t="shared" si="154"/>
        <v>1</v>
      </c>
    </row>
    <row r="240" spans="1:100" s="1" customFormat="1" ht="65.099999999999994" customHeight="1" x14ac:dyDescent="0.25">
      <c r="A240" s="356" t="s">
        <v>79</v>
      </c>
      <c r="B240" s="356" t="s">
        <v>80</v>
      </c>
      <c r="C240" s="356" t="s">
        <v>81</v>
      </c>
      <c r="D240" s="356" t="s">
        <v>82</v>
      </c>
      <c r="E240" s="356" t="s">
        <v>83</v>
      </c>
      <c r="F240" s="356" t="s">
        <v>84</v>
      </c>
      <c r="G240" s="356" t="s">
        <v>85</v>
      </c>
      <c r="H240" s="356" t="s">
        <v>86</v>
      </c>
      <c r="I240" s="356" t="s">
        <v>87</v>
      </c>
      <c r="J240" s="356" t="s">
        <v>152</v>
      </c>
      <c r="K240" s="357" t="s">
        <v>1691</v>
      </c>
      <c r="L240" s="357" t="s">
        <v>539</v>
      </c>
      <c r="M240" s="357" t="s">
        <v>174</v>
      </c>
      <c r="N240" s="367" t="s">
        <v>91</v>
      </c>
      <c r="O240" s="367" t="s">
        <v>154</v>
      </c>
      <c r="P240" s="930">
        <v>39542136.277533107</v>
      </c>
      <c r="Q240" s="357" t="s">
        <v>543</v>
      </c>
      <c r="R240" s="357" t="s">
        <v>156</v>
      </c>
      <c r="S240" s="357">
        <v>3</v>
      </c>
      <c r="T240" s="371" t="s">
        <v>175</v>
      </c>
      <c r="U240" s="357" t="s">
        <v>176</v>
      </c>
      <c r="V240" s="357" t="s">
        <v>98</v>
      </c>
      <c r="W240" s="497" t="s">
        <v>159</v>
      </c>
      <c r="X240" s="432">
        <v>0</v>
      </c>
      <c r="Y240" s="432">
        <v>0.33</v>
      </c>
      <c r="Z240" s="432">
        <v>0.33</v>
      </c>
      <c r="AA240" s="444">
        <v>0.34</v>
      </c>
      <c r="AB240" s="525">
        <v>6.66</v>
      </c>
      <c r="AC240" s="413">
        <v>0.99009900990099009</v>
      </c>
      <c r="AD240" s="413">
        <v>0.36148146666666664</v>
      </c>
      <c r="AE240" s="413">
        <v>0.37727272727272726</v>
      </c>
      <c r="AF240" s="692">
        <f t="shared" si="125"/>
        <v>0</v>
      </c>
      <c r="AG240" s="693" t="s">
        <v>146</v>
      </c>
      <c r="AH240" s="694">
        <v>0</v>
      </c>
      <c r="AI240" s="693"/>
      <c r="AJ240" s="697"/>
      <c r="AK240" s="693"/>
      <c r="AL240" s="692">
        <f t="shared" si="141"/>
        <v>0</v>
      </c>
      <c r="AM240" s="697" t="s">
        <v>121</v>
      </c>
      <c r="AN240" s="693">
        <f t="shared" si="142"/>
        <v>0</v>
      </c>
      <c r="AO240" s="693">
        <f t="shared" si="143"/>
        <v>0</v>
      </c>
      <c r="AP240" s="693">
        <f t="shared" si="144"/>
        <v>0</v>
      </c>
      <c r="AQ240" s="693"/>
      <c r="AR240" s="401">
        <f t="shared" si="126"/>
        <v>0.33</v>
      </c>
      <c r="AS240" s="402" t="s">
        <v>100</v>
      </c>
      <c r="AT240" s="632">
        <v>0</v>
      </c>
      <c r="AU240" s="403"/>
      <c r="AV240" s="402"/>
      <c r="AW240" s="729" t="str">
        <f t="shared" si="145"/>
        <v>BAJO</v>
      </c>
      <c r="AX240" s="397">
        <f t="shared" si="146"/>
        <v>0</v>
      </c>
      <c r="AY240" s="626" t="s">
        <v>522</v>
      </c>
      <c r="AZ240" s="398">
        <f t="shared" si="147"/>
        <v>0</v>
      </c>
      <c r="BA240" s="398">
        <f t="shared" si="148"/>
        <v>0</v>
      </c>
      <c r="BB240" s="398">
        <f t="shared" si="149"/>
        <v>0</v>
      </c>
      <c r="BC240" s="15"/>
      <c r="BD240" s="14">
        <f t="shared" si="150"/>
        <v>0.33</v>
      </c>
      <c r="BE240" s="677" t="s">
        <v>100</v>
      </c>
      <c r="BF240" s="681">
        <v>0</v>
      </c>
      <c r="BG240" s="658"/>
      <c r="BH240" s="658"/>
      <c r="BI240" s="658" t="str">
        <f t="shared" si="127"/>
        <v>BAJO</v>
      </c>
      <c r="BJ240" s="681">
        <f t="shared" si="151"/>
        <v>0</v>
      </c>
      <c r="BK240" s="658" t="s">
        <v>1742</v>
      </c>
      <c r="BL240" s="682">
        <f t="shared" si="128"/>
        <v>0</v>
      </c>
      <c r="BM240" s="682">
        <f t="shared" si="129"/>
        <v>0</v>
      </c>
      <c r="BN240" s="682">
        <f t="shared" si="130"/>
        <v>0</v>
      </c>
      <c r="BO240" s="658"/>
      <c r="BP240" s="853">
        <f t="shared" si="155"/>
        <v>0.34</v>
      </c>
      <c r="BQ240" s="854" t="s">
        <v>105</v>
      </c>
      <c r="BR240" s="855">
        <v>0</v>
      </c>
      <c r="BS240" s="874"/>
      <c r="BT240" s="872"/>
      <c r="BU240" s="907" t="str">
        <f t="shared" si="152"/>
        <v>BAJO</v>
      </c>
      <c r="BV240" s="875">
        <f t="shared" si="124"/>
        <v>0</v>
      </c>
      <c r="BW240" s="859" t="s">
        <v>1743</v>
      </c>
      <c r="BX240" s="857">
        <f t="shared" si="131"/>
        <v>0</v>
      </c>
      <c r="BY240" s="857">
        <f t="shared" si="132"/>
        <v>0</v>
      </c>
      <c r="BZ240" s="857">
        <f t="shared" si="133"/>
        <v>0</v>
      </c>
      <c r="CA240" s="857">
        <f t="shared" si="134"/>
        <v>0</v>
      </c>
      <c r="CB240" s="16">
        <f t="shared" si="135"/>
        <v>0.67</v>
      </c>
      <c r="CC240" s="16">
        <f t="shared" si="136"/>
        <v>0.33</v>
      </c>
      <c r="CD240" s="16">
        <f t="shared" si="156"/>
        <v>1</v>
      </c>
      <c r="CE240" s="16">
        <f t="shared" si="140"/>
        <v>0</v>
      </c>
      <c r="CF240" s="16" t="e">
        <f>SUM(#REF!/(CC240+CB240))</f>
        <v>#REF!</v>
      </c>
      <c r="CG240" s="17"/>
      <c r="CH240" s="17"/>
      <c r="CI240" s="17"/>
      <c r="CJ240" s="17"/>
      <c r="CK240" s="3" t="s">
        <v>165</v>
      </c>
      <c r="CV240" s="346">
        <f t="shared" si="154"/>
        <v>1</v>
      </c>
    </row>
    <row r="241" spans="1:100" s="1" customFormat="1" ht="65.099999999999994" customHeight="1" x14ac:dyDescent="0.25">
      <c r="A241" s="356" t="s">
        <v>79</v>
      </c>
      <c r="B241" s="356" t="s">
        <v>80</v>
      </c>
      <c r="C241" s="356" t="s">
        <v>81</v>
      </c>
      <c r="D241" s="356" t="s">
        <v>82</v>
      </c>
      <c r="E241" s="356" t="s">
        <v>83</v>
      </c>
      <c r="F241" s="356" t="s">
        <v>84</v>
      </c>
      <c r="G241" s="356" t="s">
        <v>85</v>
      </c>
      <c r="H241" s="356" t="s">
        <v>86</v>
      </c>
      <c r="I241" s="356" t="s">
        <v>87</v>
      </c>
      <c r="J241" s="356" t="s">
        <v>152</v>
      </c>
      <c r="K241" s="357" t="s">
        <v>1691</v>
      </c>
      <c r="L241" s="357" t="s">
        <v>539</v>
      </c>
      <c r="M241" s="357" t="s">
        <v>181</v>
      </c>
      <c r="N241" s="367" t="s">
        <v>91</v>
      </c>
      <c r="O241" s="367" t="s">
        <v>154</v>
      </c>
      <c r="P241" s="930">
        <v>39542136.277533107</v>
      </c>
      <c r="Q241" s="357" t="s">
        <v>543</v>
      </c>
      <c r="R241" s="357" t="s">
        <v>1744</v>
      </c>
      <c r="S241" s="371">
        <v>0.05</v>
      </c>
      <c r="T241" s="369" t="s">
        <v>182</v>
      </c>
      <c r="U241" s="357" t="s">
        <v>183</v>
      </c>
      <c r="V241" s="357" t="s">
        <v>1745</v>
      </c>
      <c r="W241" s="497" t="s">
        <v>1746</v>
      </c>
      <c r="X241" s="432">
        <v>0</v>
      </c>
      <c r="Y241" s="432">
        <v>1</v>
      </c>
      <c r="Z241" s="432">
        <v>0</v>
      </c>
      <c r="AA241" s="444">
        <v>0</v>
      </c>
      <c r="AB241" s="525">
        <v>6.66</v>
      </c>
      <c r="AC241" s="413">
        <v>0.99009900990099009</v>
      </c>
      <c r="AD241" s="413">
        <v>0.36148146666666664</v>
      </c>
      <c r="AE241" s="413">
        <v>0.37727272727272726</v>
      </c>
      <c r="AF241" s="692">
        <f t="shared" si="125"/>
        <v>0</v>
      </c>
      <c r="AG241" s="693" t="s">
        <v>146</v>
      </c>
      <c r="AH241" s="694">
        <v>0</v>
      </c>
      <c r="AI241" s="693"/>
      <c r="AJ241" s="697"/>
      <c r="AK241" s="693"/>
      <c r="AL241" s="692">
        <f t="shared" si="141"/>
        <v>0</v>
      </c>
      <c r="AM241" s="697" t="s">
        <v>121</v>
      </c>
      <c r="AN241" s="693">
        <f t="shared" si="142"/>
        <v>0</v>
      </c>
      <c r="AO241" s="693">
        <f t="shared" si="143"/>
        <v>0</v>
      </c>
      <c r="AP241" s="693">
        <f t="shared" si="144"/>
        <v>0</v>
      </c>
      <c r="AQ241" s="693"/>
      <c r="AR241" s="401">
        <f t="shared" si="126"/>
        <v>1</v>
      </c>
      <c r="AS241" s="402" t="s">
        <v>100</v>
      </c>
      <c r="AT241" s="632">
        <v>0</v>
      </c>
      <c r="AU241" s="403"/>
      <c r="AV241" s="402"/>
      <c r="AW241" s="729" t="str">
        <f t="shared" si="145"/>
        <v>BAJO</v>
      </c>
      <c r="AX241" s="397">
        <f t="shared" si="146"/>
        <v>0</v>
      </c>
      <c r="AY241" s="626" t="s">
        <v>522</v>
      </c>
      <c r="AZ241" s="398">
        <f t="shared" si="147"/>
        <v>0</v>
      </c>
      <c r="BA241" s="398">
        <f t="shared" si="148"/>
        <v>0</v>
      </c>
      <c r="BB241" s="398">
        <f t="shared" si="149"/>
        <v>0</v>
      </c>
      <c r="BC241" s="15"/>
      <c r="BD241" s="14">
        <f t="shared" si="150"/>
        <v>0</v>
      </c>
      <c r="BE241" s="677" t="s">
        <v>100</v>
      </c>
      <c r="BF241" s="681"/>
      <c r="BG241" s="658"/>
      <c r="BH241" s="658"/>
      <c r="BI241" s="658" t="str">
        <f t="shared" si="127"/>
        <v>BAJO</v>
      </c>
      <c r="BJ241" s="681">
        <f t="shared" si="151"/>
        <v>0</v>
      </c>
      <c r="BK241" s="658" t="s">
        <v>349</v>
      </c>
      <c r="BL241" s="682">
        <f t="shared" si="128"/>
        <v>0</v>
      </c>
      <c r="BM241" s="682">
        <f t="shared" si="129"/>
        <v>0</v>
      </c>
      <c r="BN241" s="682">
        <f t="shared" si="130"/>
        <v>0</v>
      </c>
      <c r="BO241" s="658"/>
      <c r="BP241" s="853">
        <f t="shared" si="155"/>
        <v>0</v>
      </c>
      <c r="BQ241" s="854" t="s">
        <v>105</v>
      </c>
      <c r="BR241" s="873">
        <v>0</v>
      </c>
      <c r="BS241" s="874"/>
      <c r="BT241" s="872"/>
      <c r="BU241" s="907" t="str">
        <f t="shared" si="152"/>
        <v>BAJO</v>
      </c>
      <c r="BV241" s="875">
        <f t="shared" ref="BV241:BV244" si="157">BP241*BR241</f>
        <v>0</v>
      </c>
      <c r="BW241" s="859" t="s">
        <v>1747</v>
      </c>
      <c r="BX241" s="857">
        <f t="shared" si="131"/>
        <v>0</v>
      </c>
      <c r="BY241" s="857">
        <f t="shared" si="132"/>
        <v>0</v>
      </c>
      <c r="BZ241" s="857">
        <f t="shared" si="133"/>
        <v>0</v>
      </c>
      <c r="CA241" s="857">
        <f t="shared" si="134"/>
        <v>0</v>
      </c>
      <c r="CB241" s="16">
        <f t="shared" si="135"/>
        <v>0</v>
      </c>
      <c r="CC241" s="16">
        <f t="shared" si="136"/>
        <v>1</v>
      </c>
      <c r="CD241" s="16">
        <f t="shared" si="156"/>
        <v>1</v>
      </c>
      <c r="CE241" s="16">
        <f t="shared" si="140"/>
        <v>0</v>
      </c>
      <c r="CF241" s="16" t="e">
        <f>SUM(#REF!/(CC241+CB241))</f>
        <v>#REF!</v>
      </c>
      <c r="CG241" s="17"/>
      <c r="CH241" s="17"/>
      <c r="CI241" s="17"/>
      <c r="CJ241" s="17"/>
      <c r="CK241" s="3" t="s">
        <v>165</v>
      </c>
      <c r="CV241" s="346">
        <f t="shared" si="154"/>
        <v>1</v>
      </c>
    </row>
    <row r="242" spans="1:100" s="1" customFormat="1" ht="65.099999999999994" customHeight="1" x14ac:dyDescent="0.25">
      <c r="A242" s="356" t="s">
        <v>79</v>
      </c>
      <c r="B242" s="356" t="s">
        <v>80</v>
      </c>
      <c r="C242" s="356" t="s">
        <v>81</v>
      </c>
      <c r="D242" s="356" t="s">
        <v>82</v>
      </c>
      <c r="E242" s="356" t="s">
        <v>83</v>
      </c>
      <c r="F242" s="356" t="s">
        <v>84</v>
      </c>
      <c r="G242" s="356" t="s">
        <v>85</v>
      </c>
      <c r="H242" s="356" t="s">
        <v>86</v>
      </c>
      <c r="I242" s="356" t="s">
        <v>87</v>
      </c>
      <c r="J242" s="356" t="s">
        <v>152</v>
      </c>
      <c r="K242" s="357" t="s">
        <v>1691</v>
      </c>
      <c r="L242" s="357" t="s">
        <v>539</v>
      </c>
      <c r="M242" s="368" t="s">
        <v>190</v>
      </c>
      <c r="N242" s="367" t="s">
        <v>91</v>
      </c>
      <c r="O242" s="367" t="s">
        <v>154</v>
      </c>
      <c r="P242" s="930">
        <v>39542136.277533107</v>
      </c>
      <c r="Q242" s="357" t="s">
        <v>543</v>
      </c>
      <c r="R242" s="357" t="s">
        <v>156</v>
      </c>
      <c r="S242" s="378">
        <v>1</v>
      </c>
      <c r="T242" s="369" t="s">
        <v>191</v>
      </c>
      <c r="U242" s="357" t="s">
        <v>158</v>
      </c>
      <c r="V242" s="357" t="s">
        <v>98</v>
      </c>
      <c r="W242" s="497" t="s">
        <v>634</v>
      </c>
      <c r="X242" s="432">
        <v>0</v>
      </c>
      <c r="Y242" s="432">
        <v>0</v>
      </c>
      <c r="Z242" s="432">
        <v>0.34</v>
      </c>
      <c r="AA242" s="444">
        <v>0.66</v>
      </c>
      <c r="AB242" s="525">
        <v>6.66</v>
      </c>
      <c r="AC242" s="413">
        <v>0.99009900990099009</v>
      </c>
      <c r="AD242" s="413">
        <v>0.36148146666666664</v>
      </c>
      <c r="AE242" s="413">
        <v>0.37727272727272726</v>
      </c>
      <c r="AF242" s="692">
        <f t="shared" si="125"/>
        <v>0</v>
      </c>
      <c r="AG242" s="693" t="s">
        <v>146</v>
      </c>
      <c r="AH242" s="694">
        <v>0</v>
      </c>
      <c r="AI242" s="693"/>
      <c r="AJ242" s="697"/>
      <c r="AK242" s="693"/>
      <c r="AL242" s="692">
        <f t="shared" si="141"/>
        <v>0</v>
      </c>
      <c r="AM242" s="697" t="s">
        <v>121</v>
      </c>
      <c r="AN242" s="693">
        <f t="shared" si="142"/>
        <v>0</v>
      </c>
      <c r="AO242" s="693">
        <f t="shared" si="143"/>
        <v>0</v>
      </c>
      <c r="AP242" s="693">
        <f t="shared" si="144"/>
        <v>0</v>
      </c>
      <c r="AQ242" s="693"/>
      <c r="AR242" s="401">
        <f t="shared" si="126"/>
        <v>0</v>
      </c>
      <c r="AS242" s="402" t="s">
        <v>146</v>
      </c>
      <c r="AT242" s="632">
        <v>0</v>
      </c>
      <c r="AU242" s="402"/>
      <c r="AV242" s="402"/>
      <c r="AW242" s="729"/>
      <c r="AX242" s="397">
        <f t="shared" si="146"/>
        <v>0</v>
      </c>
      <c r="AY242" s="626" t="s">
        <v>121</v>
      </c>
      <c r="AZ242" s="398">
        <f t="shared" si="147"/>
        <v>0</v>
      </c>
      <c r="BA242" s="398">
        <f t="shared" si="148"/>
        <v>0</v>
      </c>
      <c r="BB242" s="398">
        <f t="shared" si="149"/>
        <v>0</v>
      </c>
      <c r="BC242" s="15"/>
      <c r="BD242" s="14">
        <f t="shared" si="150"/>
        <v>0.34</v>
      </c>
      <c r="BE242" s="677" t="s">
        <v>100</v>
      </c>
      <c r="BF242" s="681">
        <v>0</v>
      </c>
      <c r="BG242" s="658"/>
      <c r="BH242" s="658"/>
      <c r="BI242" s="658" t="str">
        <f t="shared" si="127"/>
        <v>BAJO</v>
      </c>
      <c r="BJ242" s="681">
        <f t="shared" si="151"/>
        <v>0</v>
      </c>
      <c r="BK242" s="658" t="s">
        <v>349</v>
      </c>
      <c r="BL242" s="682">
        <f t="shared" si="128"/>
        <v>0</v>
      </c>
      <c r="BM242" s="682">
        <f t="shared" si="129"/>
        <v>0</v>
      </c>
      <c r="BN242" s="682">
        <f t="shared" si="130"/>
        <v>0</v>
      </c>
      <c r="BO242" s="658"/>
      <c r="BP242" s="853">
        <f t="shared" si="155"/>
        <v>0.66</v>
      </c>
      <c r="BQ242" s="854" t="s">
        <v>105</v>
      </c>
      <c r="BR242" s="873">
        <v>0</v>
      </c>
      <c r="BS242" s="874"/>
      <c r="BT242" s="872"/>
      <c r="BU242" s="907" t="str">
        <f t="shared" si="152"/>
        <v>BAJO</v>
      </c>
      <c r="BV242" s="875">
        <f t="shared" si="157"/>
        <v>0</v>
      </c>
      <c r="BW242" s="859" t="s">
        <v>1748</v>
      </c>
      <c r="BX242" s="857">
        <f t="shared" si="131"/>
        <v>0</v>
      </c>
      <c r="BY242" s="857">
        <f t="shared" si="132"/>
        <v>0</v>
      </c>
      <c r="BZ242" s="857">
        <f t="shared" si="133"/>
        <v>0</v>
      </c>
      <c r="CA242" s="857">
        <f t="shared" si="134"/>
        <v>0</v>
      </c>
      <c r="CB242" s="16">
        <f t="shared" si="135"/>
        <v>1</v>
      </c>
      <c r="CC242" s="16">
        <f t="shared" si="136"/>
        <v>0</v>
      </c>
      <c r="CD242" s="16">
        <f t="shared" si="156"/>
        <v>1</v>
      </c>
      <c r="CE242" s="16">
        <f t="shared" si="140"/>
        <v>0</v>
      </c>
      <c r="CF242" s="16" t="e">
        <f>SUM(#REF!/(CC242+CB242))</f>
        <v>#REF!</v>
      </c>
      <c r="CG242" s="17"/>
      <c r="CH242" s="17"/>
      <c r="CI242" s="17"/>
      <c r="CJ242" s="17"/>
      <c r="CK242" s="3" t="s">
        <v>165</v>
      </c>
      <c r="CV242" s="346">
        <f t="shared" si="154"/>
        <v>1</v>
      </c>
    </row>
    <row r="243" spans="1:100" s="1" customFormat="1" ht="65.099999999999994" customHeight="1" x14ac:dyDescent="0.25">
      <c r="A243" s="356" t="s">
        <v>79</v>
      </c>
      <c r="B243" s="356" t="s">
        <v>80</v>
      </c>
      <c r="C243" s="356" t="s">
        <v>81</v>
      </c>
      <c r="D243" s="356" t="s">
        <v>82</v>
      </c>
      <c r="E243" s="356" t="s">
        <v>83</v>
      </c>
      <c r="F243" s="356" t="s">
        <v>84</v>
      </c>
      <c r="G243" s="356" t="s">
        <v>85</v>
      </c>
      <c r="H243" s="356" t="s">
        <v>86</v>
      </c>
      <c r="I243" s="356" t="s">
        <v>87</v>
      </c>
      <c r="J243" s="356" t="s">
        <v>152</v>
      </c>
      <c r="K243" s="357" t="s">
        <v>1691</v>
      </c>
      <c r="L243" s="357" t="s">
        <v>539</v>
      </c>
      <c r="M243" s="357" t="s">
        <v>195</v>
      </c>
      <c r="N243" s="367" t="s">
        <v>91</v>
      </c>
      <c r="O243" s="367" t="s">
        <v>154</v>
      </c>
      <c r="P243" s="930">
        <v>39542136.277533107</v>
      </c>
      <c r="Q243" s="357" t="s">
        <v>543</v>
      </c>
      <c r="R243" s="357" t="s">
        <v>156</v>
      </c>
      <c r="S243" s="357">
        <v>7</v>
      </c>
      <c r="T243" s="369" t="s">
        <v>196</v>
      </c>
      <c r="U243" s="357" t="s">
        <v>158</v>
      </c>
      <c r="V243" s="370" t="s">
        <v>98</v>
      </c>
      <c r="W243" s="497" t="s">
        <v>197</v>
      </c>
      <c r="X243" s="432">
        <v>0</v>
      </c>
      <c r="Y243" s="432">
        <f>1/7</f>
        <v>0.14285714285714285</v>
      </c>
      <c r="Z243" s="432">
        <f>3/7</f>
        <v>0.42857142857142855</v>
      </c>
      <c r="AA243" s="444">
        <f>3/7</f>
        <v>0.42857142857142855</v>
      </c>
      <c r="AB243" s="525">
        <v>6.66</v>
      </c>
      <c r="AC243" s="413">
        <v>0.99009900990099009</v>
      </c>
      <c r="AD243" s="413">
        <v>0.36148146666666664</v>
      </c>
      <c r="AE243" s="413">
        <v>0.37727272727272726</v>
      </c>
      <c r="AF243" s="692">
        <f t="shared" si="125"/>
        <v>0</v>
      </c>
      <c r="AG243" s="693" t="s">
        <v>146</v>
      </c>
      <c r="AH243" s="694">
        <v>0</v>
      </c>
      <c r="AI243" s="693"/>
      <c r="AJ243" s="697"/>
      <c r="AK243" s="693"/>
      <c r="AL243" s="692">
        <f t="shared" si="141"/>
        <v>0</v>
      </c>
      <c r="AM243" s="697" t="s">
        <v>121</v>
      </c>
      <c r="AN243" s="693">
        <f t="shared" si="142"/>
        <v>0</v>
      </c>
      <c r="AO243" s="693">
        <f t="shared" si="143"/>
        <v>0</v>
      </c>
      <c r="AP243" s="693">
        <f t="shared" si="144"/>
        <v>0</v>
      </c>
      <c r="AQ243" s="693"/>
      <c r="AR243" s="401">
        <f t="shared" si="126"/>
        <v>0.14285714285714285</v>
      </c>
      <c r="AS243" s="402" t="s">
        <v>100</v>
      </c>
      <c r="AT243" s="632">
        <v>0</v>
      </c>
      <c r="AU243" s="403"/>
      <c r="AV243" s="402"/>
      <c r="AW243" s="729" t="str">
        <f t="shared" si="145"/>
        <v>BAJO</v>
      </c>
      <c r="AX243" s="397">
        <f t="shared" si="146"/>
        <v>0</v>
      </c>
      <c r="AY243" s="626" t="s">
        <v>522</v>
      </c>
      <c r="AZ243" s="398">
        <f t="shared" si="147"/>
        <v>0</v>
      </c>
      <c r="BA243" s="398">
        <f t="shared" si="148"/>
        <v>0</v>
      </c>
      <c r="BB243" s="398">
        <f t="shared" si="149"/>
        <v>0</v>
      </c>
      <c r="BC243" s="15"/>
      <c r="BD243" s="14">
        <f t="shared" si="150"/>
        <v>0.42857142857142855</v>
      </c>
      <c r="BE243" s="677" t="s">
        <v>100</v>
      </c>
      <c r="BF243" s="681">
        <v>0</v>
      </c>
      <c r="BG243" s="658"/>
      <c r="BH243" s="658"/>
      <c r="BI243" s="658" t="str">
        <f t="shared" si="127"/>
        <v>BAJO</v>
      </c>
      <c r="BJ243" s="681">
        <f t="shared" si="151"/>
        <v>0</v>
      </c>
      <c r="BK243" s="658" t="s">
        <v>349</v>
      </c>
      <c r="BL243" s="682">
        <f t="shared" si="128"/>
        <v>0</v>
      </c>
      <c r="BM243" s="682">
        <f t="shared" si="129"/>
        <v>0</v>
      </c>
      <c r="BN243" s="682">
        <f t="shared" si="130"/>
        <v>0</v>
      </c>
      <c r="BO243" s="658"/>
      <c r="BP243" s="853">
        <f t="shared" si="155"/>
        <v>0.42857142857142855</v>
      </c>
      <c r="BQ243" s="854" t="s">
        <v>105</v>
      </c>
      <c r="BR243" s="873">
        <v>0</v>
      </c>
      <c r="BS243" s="874"/>
      <c r="BT243" s="872"/>
      <c r="BU243" s="907" t="str">
        <f t="shared" si="152"/>
        <v>BAJO</v>
      </c>
      <c r="BV243" s="875">
        <f t="shared" si="157"/>
        <v>0</v>
      </c>
      <c r="BW243" s="859" t="s">
        <v>354</v>
      </c>
      <c r="BX243" s="857">
        <f t="shared" si="131"/>
        <v>0</v>
      </c>
      <c r="BY243" s="857">
        <f t="shared" si="132"/>
        <v>0</v>
      </c>
      <c r="BZ243" s="857">
        <f t="shared" si="133"/>
        <v>0</v>
      </c>
      <c r="CA243" s="857">
        <f t="shared" si="134"/>
        <v>0</v>
      </c>
      <c r="CB243" s="16">
        <f t="shared" si="135"/>
        <v>0.8571428571428571</v>
      </c>
      <c r="CC243" s="16">
        <f t="shared" si="136"/>
        <v>0.14285714285714285</v>
      </c>
      <c r="CD243" s="16">
        <f t="shared" si="156"/>
        <v>1</v>
      </c>
      <c r="CE243" s="16">
        <f t="shared" si="140"/>
        <v>0</v>
      </c>
      <c r="CF243" s="16" t="e">
        <f>SUM(#REF!/(CC243+CB243))</f>
        <v>#REF!</v>
      </c>
      <c r="CG243" s="17"/>
      <c r="CH243" s="17"/>
      <c r="CI243" s="17"/>
      <c r="CJ243" s="17"/>
      <c r="CK243" s="3" t="s">
        <v>165</v>
      </c>
      <c r="CV243" s="346">
        <f t="shared" si="154"/>
        <v>1</v>
      </c>
    </row>
    <row r="244" spans="1:100" s="1" customFormat="1" ht="65.099999999999994" customHeight="1" x14ac:dyDescent="0.25">
      <c r="A244" s="356" t="s">
        <v>79</v>
      </c>
      <c r="B244" s="356" t="s">
        <v>80</v>
      </c>
      <c r="C244" s="356" t="s">
        <v>81</v>
      </c>
      <c r="D244" s="356" t="s">
        <v>82</v>
      </c>
      <c r="E244" s="356" t="s">
        <v>83</v>
      </c>
      <c r="F244" s="356" t="s">
        <v>84</v>
      </c>
      <c r="G244" s="356" t="s">
        <v>85</v>
      </c>
      <c r="H244" s="356" t="s">
        <v>86</v>
      </c>
      <c r="I244" s="356" t="s">
        <v>87</v>
      </c>
      <c r="J244" s="356" t="s">
        <v>152</v>
      </c>
      <c r="K244" s="357" t="s">
        <v>1691</v>
      </c>
      <c r="L244" s="357" t="s">
        <v>539</v>
      </c>
      <c r="M244" s="357" t="s">
        <v>201</v>
      </c>
      <c r="N244" s="367" t="s">
        <v>91</v>
      </c>
      <c r="O244" s="367" t="s">
        <v>202</v>
      </c>
      <c r="P244" s="930">
        <v>39542136.277533107</v>
      </c>
      <c r="Q244" s="357" t="s">
        <v>543</v>
      </c>
      <c r="R244" s="357" t="s">
        <v>156</v>
      </c>
      <c r="S244" s="378">
        <v>1</v>
      </c>
      <c r="T244" s="369" t="s">
        <v>203</v>
      </c>
      <c r="U244" s="357" t="s">
        <v>204</v>
      </c>
      <c r="V244" s="357" t="s">
        <v>98</v>
      </c>
      <c r="W244" s="497" t="s">
        <v>205</v>
      </c>
      <c r="X244" s="432">
        <v>0</v>
      </c>
      <c r="Y244" s="432">
        <v>0</v>
      </c>
      <c r="Z244" s="432">
        <v>0</v>
      </c>
      <c r="AA244" s="444">
        <v>1</v>
      </c>
      <c r="AB244" s="525">
        <v>6.66</v>
      </c>
      <c r="AC244" s="413">
        <v>0.99009900990099009</v>
      </c>
      <c r="AD244" s="413">
        <v>0.36148146666666664</v>
      </c>
      <c r="AE244" s="413">
        <v>0.37727272727272726</v>
      </c>
      <c r="AF244" s="692">
        <f t="shared" si="125"/>
        <v>0</v>
      </c>
      <c r="AG244" s="693" t="s">
        <v>146</v>
      </c>
      <c r="AH244" s="694">
        <v>0</v>
      </c>
      <c r="AI244" s="693"/>
      <c r="AJ244" s="697"/>
      <c r="AK244" s="693"/>
      <c r="AL244" s="692">
        <f t="shared" si="141"/>
        <v>0</v>
      </c>
      <c r="AM244" s="697" t="s">
        <v>121</v>
      </c>
      <c r="AN244" s="693">
        <f t="shared" si="142"/>
        <v>0</v>
      </c>
      <c r="AO244" s="693">
        <f t="shared" si="143"/>
        <v>0</v>
      </c>
      <c r="AP244" s="693">
        <f t="shared" si="144"/>
        <v>0</v>
      </c>
      <c r="AQ244" s="693"/>
      <c r="AR244" s="401">
        <f t="shared" si="126"/>
        <v>0</v>
      </c>
      <c r="AS244" s="402" t="s">
        <v>146</v>
      </c>
      <c r="AT244" s="632">
        <v>0</v>
      </c>
      <c r="AU244" s="403"/>
      <c r="AV244" s="402"/>
      <c r="AW244" s="729"/>
      <c r="AX244" s="397">
        <f t="shared" si="146"/>
        <v>0</v>
      </c>
      <c r="AY244" s="626" t="s">
        <v>121</v>
      </c>
      <c r="AZ244" s="398">
        <f t="shared" si="147"/>
        <v>0</v>
      </c>
      <c r="BA244" s="398">
        <f t="shared" si="148"/>
        <v>0</v>
      </c>
      <c r="BB244" s="398">
        <f t="shared" si="149"/>
        <v>0</v>
      </c>
      <c r="BC244" s="15"/>
      <c r="BD244" s="14">
        <f t="shared" si="150"/>
        <v>0</v>
      </c>
      <c r="BE244" s="677" t="s">
        <v>146</v>
      </c>
      <c r="BF244" s="681"/>
      <c r="BG244" s="658"/>
      <c r="BH244" s="658"/>
      <c r="BI244" s="658" t="str">
        <f t="shared" si="127"/>
        <v>BAJO</v>
      </c>
      <c r="BJ244" s="681">
        <f t="shared" si="151"/>
        <v>0</v>
      </c>
      <c r="BK244" s="658" t="s">
        <v>149</v>
      </c>
      <c r="BL244" s="682">
        <f t="shared" si="128"/>
        <v>0</v>
      </c>
      <c r="BM244" s="682">
        <f t="shared" si="129"/>
        <v>0</v>
      </c>
      <c r="BN244" s="682">
        <f t="shared" si="130"/>
        <v>0</v>
      </c>
      <c r="BO244" s="658"/>
      <c r="BP244" s="853">
        <f t="shared" si="155"/>
        <v>1</v>
      </c>
      <c r="BQ244" s="854" t="s">
        <v>105</v>
      </c>
      <c r="BR244" s="873">
        <v>0</v>
      </c>
      <c r="BS244" s="874"/>
      <c r="BT244" s="872"/>
      <c r="BU244" s="907" t="str">
        <f t="shared" si="152"/>
        <v>BAJO</v>
      </c>
      <c r="BV244" s="875">
        <f t="shared" si="157"/>
        <v>0</v>
      </c>
      <c r="BW244" s="859" t="s">
        <v>349</v>
      </c>
      <c r="BX244" s="857">
        <f t="shared" si="131"/>
        <v>0</v>
      </c>
      <c r="BY244" s="857">
        <f t="shared" si="132"/>
        <v>0</v>
      </c>
      <c r="BZ244" s="857">
        <f t="shared" si="133"/>
        <v>0</v>
      </c>
      <c r="CA244" s="857">
        <f t="shared" si="134"/>
        <v>0</v>
      </c>
      <c r="CB244" s="16">
        <f t="shared" si="135"/>
        <v>1</v>
      </c>
      <c r="CC244" s="16">
        <f t="shared" si="136"/>
        <v>0</v>
      </c>
      <c r="CD244" s="16">
        <f t="shared" si="156"/>
        <v>1</v>
      </c>
      <c r="CE244" s="16">
        <f t="shared" si="140"/>
        <v>0</v>
      </c>
      <c r="CF244" s="16" t="e">
        <f>SUM(#REF!/(CC244+CB244))</f>
        <v>#REF!</v>
      </c>
      <c r="CG244" s="17"/>
      <c r="CH244" s="17"/>
      <c r="CI244" s="17"/>
      <c r="CJ244" s="17"/>
      <c r="CK244" s="3" t="s">
        <v>165</v>
      </c>
      <c r="CV244" s="346">
        <f t="shared" si="154"/>
        <v>1</v>
      </c>
    </row>
    <row r="245" spans="1:100" s="1" customFormat="1" ht="144" customHeight="1" x14ac:dyDescent="0.25">
      <c r="A245" s="354" t="s">
        <v>79</v>
      </c>
      <c r="B245" s="354" t="s">
        <v>80</v>
      </c>
      <c r="C245" s="354" t="s">
        <v>81</v>
      </c>
      <c r="D245" s="354" t="s">
        <v>82</v>
      </c>
      <c r="E245" s="354" t="s">
        <v>83</v>
      </c>
      <c r="F245" s="354" t="s">
        <v>84</v>
      </c>
      <c r="G245" s="354" t="s">
        <v>85</v>
      </c>
      <c r="H245" s="354" t="s">
        <v>86</v>
      </c>
      <c r="I245" s="354" t="s">
        <v>87</v>
      </c>
      <c r="J245" s="354" t="s">
        <v>152</v>
      </c>
      <c r="K245" s="348" t="s">
        <v>1749</v>
      </c>
      <c r="L245" s="348" t="s">
        <v>1750</v>
      </c>
      <c r="M245" s="686" t="s">
        <v>1751</v>
      </c>
      <c r="N245" s="361" t="s">
        <v>1750</v>
      </c>
      <c r="O245" s="361" t="s">
        <v>1750</v>
      </c>
      <c r="P245" s="917"/>
      <c r="Q245" s="348" t="s">
        <v>1752</v>
      </c>
      <c r="R245" s="348" t="s">
        <v>213</v>
      </c>
      <c r="S245" s="384">
        <v>3</v>
      </c>
      <c r="T245" s="355" t="s">
        <v>1753</v>
      </c>
      <c r="U245" s="355" t="s">
        <v>1754</v>
      </c>
      <c r="V245" s="348" t="s">
        <v>98</v>
      </c>
      <c r="W245" s="355" t="s">
        <v>1755</v>
      </c>
      <c r="X245" s="430">
        <v>0</v>
      </c>
      <c r="Y245" s="430">
        <v>0</v>
      </c>
      <c r="Z245" s="430">
        <v>0</v>
      </c>
      <c r="AA245" s="431">
        <v>0</v>
      </c>
      <c r="AB245" s="525"/>
      <c r="AC245" s="525"/>
      <c r="AD245" s="413"/>
      <c r="AE245" s="413">
        <v>0.37727272727272726</v>
      </c>
      <c r="AF245" s="692">
        <f t="shared" si="125"/>
        <v>0</v>
      </c>
      <c r="AG245" s="693" t="s">
        <v>146</v>
      </c>
      <c r="AH245" s="724">
        <v>0</v>
      </c>
      <c r="AI245" s="696" t="s">
        <v>1756</v>
      </c>
      <c r="AJ245" s="725" t="s">
        <v>1757</v>
      </c>
      <c r="AK245" s="693"/>
      <c r="AL245" s="692">
        <f t="shared" si="141"/>
        <v>0</v>
      </c>
      <c r="AM245" s="695" t="s">
        <v>121</v>
      </c>
      <c r="AN245" s="693">
        <f t="shared" si="142"/>
        <v>0</v>
      </c>
      <c r="AO245" s="693">
        <f t="shared" si="143"/>
        <v>0</v>
      </c>
      <c r="AP245" s="693">
        <f t="shared" si="144"/>
        <v>0</v>
      </c>
      <c r="AQ245" s="693"/>
      <c r="AR245" s="401">
        <f t="shared" si="126"/>
        <v>0</v>
      </c>
      <c r="AS245" s="402" t="s">
        <v>146</v>
      </c>
      <c r="AT245" s="633">
        <v>0</v>
      </c>
      <c r="AU245" s="404" t="s">
        <v>1756</v>
      </c>
      <c r="AV245" s="634" t="s">
        <v>1757</v>
      </c>
      <c r="AW245" s="729"/>
      <c r="AX245" s="397">
        <f t="shared" si="146"/>
        <v>0</v>
      </c>
      <c r="AY245" s="399" t="s">
        <v>121</v>
      </c>
      <c r="AZ245" s="398">
        <f t="shared" si="147"/>
        <v>0</v>
      </c>
      <c r="BA245" s="398">
        <f t="shared" si="148"/>
        <v>0</v>
      </c>
      <c r="BB245" s="398">
        <f t="shared" si="149"/>
        <v>0</v>
      </c>
      <c r="BC245" s="15"/>
      <c r="BD245" s="14">
        <f t="shared" si="150"/>
        <v>0</v>
      </c>
      <c r="BE245" s="677" t="s">
        <v>1758</v>
      </c>
      <c r="BF245" s="681"/>
      <c r="BG245" s="754" t="s">
        <v>1756</v>
      </c>
      <c r="BH245" s="680" t="s">
        <v>1759</v>
      </c>
      <c r="BI245" s="658" t="str">
        <f t="shared" si="127"/>
        <v>BAJO</v>
      </c>
      <c r="BJ245" s="681">
        <v>0</v>
      </c>
      <c r="BK245" s="658" t="s">
        <v>1760</v>
      </c>
      <c r="BL245" s="682" t="e">
        <f t="shared" si="128"/>
        <v>#DIV/0!</v>
      </c>
      <c r="BM245" s="682" t="e">
        <f t="shared" si="129"/>
        <v>#DIV/0!</v>
      </c>
      <c r="BN245" s="682" t="e">
        <f t="shared" si="130"/>
        <v>#DIV/0!</v>
      </c>
      <c r="BO245" s="658"/>
      <c r="BP245" s="853">
        <f t="shared" si="155"/>
        <v>0</v>
      </c>
      <c r="BQ245" s="854" t="s">
        <v>105</v>
      </c>
      <c r="BR245" s="873">
        <v>0</v>
      </c>
      <c r="BS245" s="863" t="s">
        <v>1756</v>
      </c>
      <c r="BT245" s="859" t="s">
        <v>1759</v>
      </c>
      <c r="BU245" s="907" t="str">
        <f t="shared" si="152"/>
        <v>BAJO</v>
      </c>
      <c r="BV245" s="862">
        <f t="shared" ref="BV245:BV280" si="158">BP245*BR245</f>
        <v>0</v>
      </c>
      <c r="BW245" s="859" t="s">
        <v>1761</v>
      </c>
      <c r="BX245" s="857">
        <f t="shared" si="131"/>
        <v>0</v>
      </c>
      <c r="BY245" s="857">
        <f t="shared" si="132"/>
        <v>0</v>
      </c>
      <c r="BZ245" s="857">
        <f t="shared" si="133"/>
        <v>0</v>
      </c>
      <c r="CA245" s="857">
        <f t="shared" si="134"/>
        <v>0</v>
      </c>
      <c r="CB245" s="16">
        <f t="shared" si="135"/>
        <v>0</v>
      </c>
      <c r="CC245" s="16">
        <f t="shared" si="136"/>
        <v>0</v>
      </c>
      <c r="CD245" s="16"/>
      <c r="CE245" s="16"/>
      <c r="CF245" s="16" t="e">
        <f>SUM(#REF!/(CC245+CB245))</f>
        <v>#REF!</v>
      </c>
      <c r="CG245" s="17"/>
      <c r="CH245" s="17"/>
      <c r="CI245" s="17"/>
      <c r="CJ245" s="17"/>
      <c r="CV245" s="346">
        <f t="shared" si="154"/>
        <v>0</v>
      </c>
    </row>
    <row r="246" spans="1:100" s="3" customFormat="1" ht="187.5" customHeight="1" x14ac:dyDescent="0.25">
      <c r="A246" s="354" t="s">
        <v>79</v>
      </c>
      <c r="B246" s="354" t="s">
        <v>80</v>
      </c>
      <c r="C246" s="354" t="s">
        <v>81</v>
      </c>
      <c r="D246" s="354" t="s">
        <v>82</v>
      </c>
      <c r="E246" s="354" t="s">
        <v>83</v>
      </c>
      <c r="F246" s="354" t="s">
        <v>84</v>
      </c>
      <c r="G246" s="354" t="s">
        <v>85</v>
      </c>
      <c r="H246" s="354" t="s">
        <v>86</v>
      </c>
      <c r="I246" s="354" t="s">
        <v>87</v>
      </c>
      <c r="J246" s="354" t="s">
        <v>152</v>
      </c>
      <c r="K246" s="348" t="s">
        <v>1749</v>
      </c>
      <c r="L246" s="348" t="s">
        <v>1750</v>
      </c>
      <c r="M246" s="686" t="s">
        <v>1762</v>
      </c>
      <c r="N246" s="361" t="s">
        <v>1750</v>
      </c>
      <c r="O246" s="361" t="s">
        <v>1750</v>
      </c>
      <c r="P246" s="922">
        <v>39542136.277533107</v>
      </c>
      <c r="Q246" s="348" t="s">
        <v>1752</v>
      </c>
      <c r="R246" s="348" t="s">
        <v>213</v>
      </c>
      <c r="S246" s="384">
        <v>28</v>
      </c>
      <c r="T246" s="355" t="s">
        <v>1763</v>
      </c>
      <c r="U246" s="355" t="s">
        <v>1764</v>
      </c>
      <c r="V246" s="348" t="s">
        <v>98</v>
      </c>
      <c r="W246" s="355" t="s">
        <v>1765</v>
      </c>
      <c r="X246" s="430">
        <v>0.25</v>
      </c>
      <c r="Y246" s="430">
        <v>0.21</v>
      </c>
      <c r="Z246" s="430">
        <v>0.36</v>
      </c>
      <c r="AA246" s="431">
        <v>0.18</v>
      </c>
      <c r="AB246" s="525">
        <v>15.4</v>
      </c>
      <c r="AC246" s="525">
        <v>15.4</v>
      </c>
      <c r="AD246" s="413">
        <v>0.75384600000000002</v>
      </c>
      <c r="AE246" s="413">
        <v>0.37727272727272726</v>
      </c>
      <c r="AF246" s="692">
        <f t="shared" si="125"/>
        <v>0.25</v>
      </c>
      <c r="AG246" s="693" t="s">
        <v>100</v>
      </c>
      <c r="AH246" s="726">
        <f>7/7</f>
        <v>1</v>
      </c>
      <c r="AI246" s="727" t="s">
        <v>1766</v>
      </c>
      <c r="AJ246" s="696"/>
      <c r="AK246" s="693" t="str">
        <f t="shared" si="153"/>
        <v>ALTO</v>
      </c>
      <c r="AL246" s="692">
        <f t="shared" si="141"/>
        <v>0.25</v>
      </c>
      <c r="AM246" s="695" t="s">
        <v>1468</v>
      </c>
      <c r="AN246" s="693">
        <f t="shared" si="142"/>
        <v>3.85</v>
      </c>
      <c r="AO246" s="693">
        <f t="shared" si="143"/>
        <v>3.85</v>
      </c>
      <c r="AP246" s="693">
        <f t="shared" si="144"/>
        <v>0.1884615</v>
      </c>
      <c r="AQ246" s="696"/>
      <c r="AR246" s="401">
        <f t="shared" si="126"/>
        <v>0.21</v>
      </c>
      <c r="AS246" s="402" t="s">
        <v>100</v>
      </c>
      <c r="AT246" s="636">
        <f>6/6</f>
        <v>1</v>
      </c>
      <c r="AU246" s="635" t="s">
        <v>1767</v>
      </c>
      <c r="AV246" s="404"/>
      <c r="AW246" s="729" t="str">
        <f t="shared" si="145"/>
        <v>ALTO</v>
      </c>
      <c r="AX246" s="397">
        <f t="shared" si="146"/>
        <v>0.21</v>
      </c>
      <c r="AY246" s="400" t="s">
        <v>1468</v>
      </c>
      <c r="AZ246" s="398">
        <f t="shared" si="147"/>
        <v>3.234</v>
      </c>
      <c r="BA246" s="398">
        <f t="shared" si="148"/>
        <v>3.234</v>
      </c>
      <c r="BB246" s="398">
        <f t="shared" si="149"/>
        <v>0.15830765999999999</v>
      </c>
      <c r="BC246" s="18"/>
      <c r="BD246" s="14">
        <f t="shared" si="150"/>
        <v>0.36</v>
      </c>
      <c r="BE246" s="645" t="s">
        <v>100</v>
      </c>
      <c r="BF246" s="789">
        <f>7/7</f>
        <v>1</v>
      </c>
      <c r="BG246" s="790" t="s">
        <v>1768</v>
      </c>
      <c r="BH246" s="791"/>
      <c r="BI246" s="658" t="str">
        <f t="shared" si="127"/>
        <v>ALTO</v>
      </c>
      <c r="BJ246" s="681">
        <f t="shared" si="151"/>
        <v>0.36</v>
      </c>
      <c r="BK246" s="680" t="s">
        <v>1769</v>
      </c>
      <c r="BL246" s="682">
        <f t="shared" si="128"/>
        <v>2.3376623376623374E-2</v>
      </c>
      <c r="BM246" s="682">
        <f t="shared" si="129"/>
        <v>2.3376623376623374E-2</v>
      </c>
      <c r="BN246" s="682">
        <f t="shared" si="130"/>
        <v>0.47755111786757504</v>
      </c>
      <c r="BO246" s="754"/>
      <c r="BP246" s="853">
        <f t="shared" si="155"/>
        <v>0.18</v>
      </c>
      <c r="BQ246" s="854" t="s">
        <v>105</v>
      </c>
      <c r="BR246" s="897">
        <f>100/100</f>
        <v>1</v>
      </c>
      <c r="BS246" s="898" t="s">
        <v>1770</v>
      </c>
      <c r="BT246" s="899"/>
      <c r="BU246" s="905" t="str">
        <f t="shared" si="152"/>
        <v>ALTO</v>
      </c>
      <c r="BV246" s="875">
        <f t="shared" si="158"/>
        <v>0.18</v>
      </c>
      <c r="BW246" s="859" t="s">
        <v>1771</v>
      </c>
      <c r="BX246" s="857">
        <f t="shared" si="131"/>
        <v>2.7719999999999998</v>
      </c>
      <c r="BY246" s="857">
        <f t="shared" si="132"/>
        <v>2.7719999999999998</v>
      </c>
      <c r="BZ246" s="857">
        <f t="shared" si="133"/>
        <v>0.13569228</v>
      </c>
      <c r="CA246" s="857">
        <f t="shared" si="134"/>
        <v>6.7909090909090905E-2</v>
      </c>
      <c r="CB246" s="16">
        <f t="shared" si="135"/>
        <v>0.54</v>
      </c>
      <c r="CC246" s="16">
        <f t="shared" si="136"/>
        <v>0.45999999999999996</v>
      </c>
      <c r="CD246" s="16">
        <f t="shared" ref="CD246:CD254" si="159">SUM(X246+Y246+Z246+AA246)</f>
        <v>1</v>
      </c>
      <c r="CE246" s="16">
        <f t="shared" ref="CE246:CE254" si="160">SUM(AL246+AX246+BJ246+BV246)</f>
        <v>1</v>
      </c>
      <c r="CF246" s="16" t="e">
        <f>SUM(#REF!/(CC246+CB246))</f>
        <v>#REF!</v>
      </c>
      <c r="CG246" s="19"/>
      <c r="CH246" s="19"/>
      <c r="CI246" s="19"/>
      <c r="CJ246" s="19"/>
      <c r="CV246" s="346">
        <f t="shared" si="154"/>
        <v>1</v>
      </c>
    </row>
    <row r="247" spans="1:100" s="1" customFormat="1" ht="65.099999999999994" customHeight="1" x14ac:dyDescent="0.25">
      <c r="A247" s="354" t="s">
        <v>79</v>
      </c>
      <c r="B247" s="354" t="s">
        <v>80</v>
      </c>
      <c r="C247" s="354" t="s">
        <v>81</v>
      </c>
      <c r="D247" s="354" t="s">
        <v>82</v>
      </c>
      <c r="E247" s="354" t="s">
        <v>83</v>
      </c>
      <c r="F247" s="354" t="s">
        <v>84</v>
      </c>
      <c r="G247" s="354" t="s">
        <v>85</v>
      </c>
      <c r="H247" s="354" t="s">
        <v>86</v>
      </c>
      <c r="I247" s="354" t="s">
        <v>87</v>
      </c>
      <c r="J247" s="354" t="s">
        <v>152</v>
      </c>
      <c r="K247" s="348" t="s">
        <v>1749</v>
      </c>
      <c r="L247" s="348" t="s">
        <v>1750</v>
      </c>
      <c r="M247" s="686" t="s">
        <v>1772</v>
      </c>
      <c r="N247" s="361" t="s">
        <v>1750</v>
      </c>
      <c r="O247" s="361" t="s">
        <v>1750</v>
      </c>
      <c r="P247" s="922">
        <v>39542136.277533107</v>
      </c>
      <c r="Q247" s="348" t="s">
        <v>1752</v>
      </c>
      <c r="R247" s="348" t="s">
        <v>213</v>
      </c>
      <c r="S247" s="384">
        <v>6</v>
      </c>
      <c r="T247" s="355" t="s">
        <v>1773</v>
      </c>
      <c r="U247" s="348" t="s">
        <v>1774</v>
      </c>
      <c r="V247" s="348" t="s">
        <v>98</v>
      </c>
      <c r="W247" s="355" t="s">
        <v>1775</v>
      </c>
      <c r="X247" s="430">
        <v>0.33</v>
      </c>
      <c r="Y247" s="430">
        <v>0.17</v>
      </c>
      <c r="Z247" s="430">
        <v>0.33</v>
      </c>
      <c r="AA247" s="431">
        <v>0.17</v>
      </c>
      <c r="AB247" s="525">
        <v>7.7</v>
      </c>
      <c r="AC247" s="525">
        <v>7.7</v>
      </c>
      <c r="AD247" s="413">
        <v>0.37692300000000001</v>
      </c>
      <c r="AE247" s="413">
        <v>0.37727272727272726</v>
      </c>
      <c r="AF247" s="692">
        <f t="shared" si="125"/>
        <v>0.33</v>
      </c>
      <c r="AG247" s="693" t="s">
        <v>100</v>
      </c>
      <c r="AH247" s="726">
        <f>2/2</f>
        <v>1</v>
      </c>
      <c r="AI247" s="727" t="s">
        <v>1776</v>
      </c>
      <c r="AJ247" s="693"/>
      <c r="AK247" s="693" t="str">
        <f t="shared" si="153"/>
        <v>ALTO</v>
      </c>
      <c r="AL247" s="692">
        <f t="shared" si="141"/>
        <v>0.33</v>
      </c>
      <c r="AM247" s="695" t="s">
        <v>1468</v>
      </c>
      <c r="AN247" s="693">
        <f t="shared" si="142"/>
        <v>2.5410000000000004</v>
      </c>
      <c r="AO247" s="693">
        <f t="shared" si="143"/>
        <v>2.5410000000000004</v>
      </c>
      <c r="AP247" s="693">
        <f t="shared" si="144"/>
        <v>0.12438459</v>
      </c>
      <c r="AQ247" s="693"/>
      <c r="AR247" s="401">
        <f t="shared" si="126"/>
        <v>0.17</v>
      </c>
      <c r="AS247" s="402" t="s">
        <v>100</v>
      </c>
      <c r="AT247" s="636">
        <f>1/1</f>
        <v>1</v>
      </c>
      <c r="AU247" s="635" t="s">
        <v>1777</v>
      </c>
      <c r="AV247" s="403"/>
      <c r="AW247" s="729" t="str">
        <f t="shared" si="145"/>
        <v>ALTO</v>
      </c>
      <c r="AX247" s="397">
        <f t="shared" si="146"/>
        <v>0.17</v>
      </c>
      <c r="AY247" s="399" t="s">
        <v>1468</v>
      </c>
      <c r="AZ247" s="398">
        <f t="shared" si="147"/>
        <v>1.3090000000000002</v>
      </c>
      <c r="BA247" s="398">
        <f t="shared" si="148"/>
        <v>1.3090000000000002</v>
      </c>
      <c r="BB247" s="398">
        <f t="shared" si="149"/>
        <v>6.4076910000000001E-2</v>
      </c>
      <c r="BC247" s="15"/>
      <c r="BD247" s="14">
        <f t="shared" si="150"/>
        <v>0.33</v>
      </c>
      <c r="BE247" s="645" t="s">
        <v>100</v>
      </c>
      <c r="BF247" s="789">
        <f>2/2</f>
        <v>1</v>
      </c>
      <c r="BG247" s="790" t="s">
        <v>1778</v>
      </c>
      <c r="BH247" s="645"/>
      <c r="BI247" s="658" t="str">
        <f t="shared" si="127"/>
        <v>ALTO</v>
      </c>
      <c r="BJ247" s="681">
        <f t="shared" si="151"/>
        <v>0.33</v>
      </c>
      <c r="BK247" s="647" t="s">
        <v>1779</v>
      </c>
      <c r="BL247" s="682">
        <f t="shared" si="128"/>
        <v>4.2857142857142858E-2</v>
      </c>
      <c r="BM247" s="682">
        <f t="shared" si="129"/>
        <v>4.2857142857142858E-2</v>
      </c>
      <c r="BN247" s="682">
        <f t="shared" si="130"/>
        <v>0.87551038275722104</v>
      </c>
      <c r="BO247" s="658"/>
      <c r="BP247" s="853">
        <f t="shared" si="155"/>
        <v>0.17</v>
      </c>
      <c r="BQ247" s="854" t="s">
        <v>105</v>
      </c>
      <c r="BR247" s="897">
        <v>1</v>
      </c>
      <c r="BS247" s="898" t="s">
        <v>1780</v>
      </c>
      <c r="BT247" s="900"/>
      <c r="BU247" s="905" t="str">
        <f t="shared" si="152"/>
        <v>ALTO</v>
      </c>
      <c r="BV247" s="875">
        <f t="shared" si="158"/>
        <v>0.17</v>
      </c>
      <c r="BW247" s="859" t="s">
        <v>1781</v>
      </c>
      <c r="BX247" s="857">
        <f t="shared" si="131"/>
        <v>1.3090000000000002</v>
      </c>
      <c r="BY247" s="857">
        <f t="shared" si="132"/>
        <v>1.3090000000000002</v>
      </c>
      <c r="BZ247" s="857">
        <f t="shared" si="133"/>
        <v>6.4076910000000001E-2</v>
      </c>
      <c r="CA247" s="857">
        <f t="shared" si="134"/>
        <v>6.4136363636363644E-2</v>
      </c>
      <c r="CB247" s="16">
        <f t="shared" si="135"/>
        <v>0.5</v>
      </c>
      <c r="CC247" s="16">
        <f t="shared" si="136"/>
        <v>0.5</v>
      </c>
      <c r="CD247" s="16">
        <f t="shared" si="159"/>
        <v>1</v>
      </c>
      <c r="CE247" s="16">
        <f t="shared" si="160"/>
        <v>1</v>
      </c>
      <c r="CF247" s="16" t="e">
        <f>SUM(#REF!/(CC247+CB247))</f>
        <v>#REF!</v>
      </c>
      <c r="CG247" s="17"/>
      <c r="CH247" s="17"/>
      <c r="CI247" s="17"/>
      <c r="CJ247" s="17"/>
      <c r="CV247" s="346">
        <f t="shared" si="154"/>
        <v>1</v>
      </c>
    </row>
    <row r="248" spans="1:100" s="1" customFormat="1" ht="65.099999999999994" customHeight="1" x14ac:dyDescent="0.25">
      <c r="A248" s="354" t="s">
        <v>79</v>
      </c>
      <c r="B248" s="354" t="s">
        <v>80</v>
      </c>
      <c r="C248" s="354" t="s">
        <v>81</v>
      </c>
      <c r="D248" s="354" t="s">
        <v>82</v>
      </c>
      <c r="E248" s="354" t="s">
        <v>83</v>
      </c>
      <c r="F248" s="354" t="s">
        <v>84</v>
      </c>
      <c r="G248" s="354" t="s">
        <v>85</v>
      </c>
      <c r="H248" s="354" t="s">
        <v>86</v>
      </c>
      <c r="I248" s="354" t="s">
        <v>87</v>
      </c>
      <c r="J248" s="354" t="s">
        <v>152</v>
      </c>
      <c r="K248" s="348" t="s">
        <v>1749</v>
      </c>
      <c r="L248" s="348" t="s">
        <v>1750</v>
      </c>
      <c r="M248" s="686" t="s">
        <v>1782</v>
      </c>
      <c r="N248" s="361" t="s">
        <v>1750</v>
      </c>
      <c r="O248" s="361" t="s">
        <v>1750</v>
      </c>
      <c r="P248" s="922">
        <v>39542136.277533107</v>
      </c>
      <c r="Q248" s="348" t="s">
        <v>1752</v>
      </c>
      <c r="R248" s="348" t="s">
        <v>213</v>
      </c>
      <c r="S248" s="384">
        <v>31</v>
      </c>
      <c r="T248" s="348" t="s">
        <v>1783</v>
      </c>
      <c r="U248" s="355" t="s">
        <v>1784</v>
      </c>
      <c r="V248" s="348" t="s">
        <v>98</v>
      </c>
      <c r="W248" s="355" t="s">
        <v>1785</v>
      </c>
      <c r="X248" s="430">
        <v>0.28999999999999998</v>
      </c>
      <c r="Y248" s="430">
        <v>0.23</v>
      </c>
      <c r="Z248" s="430">
        <v>0.28999999999999998</v>
      </c>
      <c r="AA248" s="431">
        <v>0.19</v>
      </c>
      <c r="AB248" s="525">
        <v>7.69</v>
      </c>
      <c r="AC248" s="525">
        <v>7.69</v>
      </c>
      <c r="AD248" s="413">
        <v>0.37692300000000001</v>
      </c>
      <c r="AE248" s="413">
        <v>0.37727272727272726</v>
      </c>
      <c r="AF248" s="692">
        <f t="shared" si="125"/>
        <v>0.28999999999999998</v>
      </c>
      <c r="AG248" s="693" t="s">
        <v>100</v>
      </c>
      <c r="AH248" s="726">
        <f>9/9</f>
        <v>1</v>
      </c>
      <c r="AI248" s="727" t="s">
        <v>1786</v>
      </c>
      <c r="AJ248" s="693"/>
      <c r="AK248" s="693" t="str">
        <f t="shared" si="153"/>
        <v>ALTO</v>
      </c>
      <c r="AL248" s="692">
        <f t="shared" si="141"/>
        <v>0.28999999999999998</v>
      </c>
      <c r="AM248" s="695" t="s">
        <v>1468</v>
      </c>
      <c r="AN248" s="693">
        <f t="shared" si="142"/>
        <v>2.2300999999999997</v>
      </c>
      <c r="AO248" s="693">
        <f t="shared" si="143"/>
        <v>2.2300999999999997</v>
      </c>
      <c r="AP248" s="693">
        <f t="shared" si="144"/>
        <v>0.10930767</v>
      </c>
      <c r="AQ248" s="693"/>
      <c r="AR248" s="401">
        <f t="shared" si="126"/>
        <v>0.23</v>
      </c>
      <c r="AS248" s="402" t="s">
        <v>100</v>
      </c>
      <c r="AT248" s="636">
        <f>7/7</f>
        <v>1</v>
      </c>
      <c r="AU248" s="635" t="s">
        <v>1787</v>
      </c>
      <c r="AV248" s="403"/>
      <c r="AW248" s="729" t="str">
        <f t="shared" si="145"/>
        <v>ALTO</v>
      </c>
      <c r="AX248" s="397">
        <f t="shared" si="146"/>
        <v>0.23</v>
      </c>
      <c r="AY248" s="399" t="s">
        <v>1468</v>
      </c>
      <c r="AZ248" s="398">
        <f t="shared" si="147"/>
        <v>1.7687000000000002</v>
      </c>
      <c r="BA248" s="398">
        <f t="shared" si="148"/>
        <v>1.7687000000000002</v>
      </c>
      <c r="BB248" s="398">
        <f t="shared" si="149"/>
        <v>8.6692290000000005E-2</v>
      </c>
      <c r="BC248" s="15"/>
      <c r="BD248" s="14">
        <f t="shared" si="150"/>
        <v>0.28999999999999998</v>
      </c>
      <c r="BE248" s="645" t="s">
        <v>100</v>
      </c>
      <c r="BF248" s="789">
        <f>9/9</f>
        <v>1</v>
      </c>
      <c r="BG248" s="790" t="s">
        <v>1786</v>
      </c>
      <c r="BH248" s="645"/>
      <c r="BI248" s="658" t="str">
        <f t="shared" si="127"/>
        <v>ALTO</v>
      </c>
      <c r="BJ248" s="681">
        <f t="shared" si="151"/>
        <v>0.28999999999999998</v>
      </c>
      <c r="BK248" s="647" t="s">
        <v>1788</v>
      </c>
      <c r="BL248" s="682">
        <f t="shared" si="128"/>
        <v>3.7711313394018203E-2</v>
      </c>
      <c r="BM248" s="682">
        <f t="shared" si="129"/>
        <v>3.7711313394018203E-2</v>
      </c>
      <c r="BN248" s="682">
        <f t="shared" si="130"/>
        <v>0.76938791211998203</v>
      </c>
      <c r="BO248" s="658"/>
      <c r="BP248" s="853">
        <f t="shared" si="155"/>
        <v>0.19</v>
      </c>
      <c r="BQ248" s="854" t="s">
        <v>105</v>
      </c>
      <c r="BR248" s="897">
        <f>100/100</f>
        <v>1</v>
      </c>
      <c r="BS248" s="898" t="s">
        <v>1789</v>
      </c>
      <c r="BT248" s="900"/>
      <c r="BU248" s="905" t="str">
        <f t="shared" si="152"/>
        <v>ALTO</v>
      </c>
      <c r="BV248" s="875">
        <f t="shared" si="158"/>
        <v>0.19</v>
      </c>
      <c r="BW248" s="859" t="s">
        <v>1771</v>
      </c>
      <c r="BX248" s="857">
        <f t="shared" si="131"/>
        <v>1.4611000000000001</v>
      </c>
      <c r="BY248" s="857">
        <f t="shared" si="132"/>
        <v>1.4611000000000001</v>
      </c>
      <c r="BZ248" s="857">
        <f t="shared" si="133"/>
        <v>7.1615369999999998E-2</v>
      </c>
      <c r="CA248" s="857">
        <f t="shared" si="134"/>
        <v>7.168181818181818E-2</v>
      </c>
      <c r="CB248" s="16">
        <f t="shared" si="135"/>
        <v>0.48</v>
      </c>
      <c r="CC248" s="16">
        <f t="shared" si="136"/>
        <v>0.52</v>
      </c>
      <c r="CD248" s="16">
        <f t="shared" si="159"/>
        <v>1</v>
      </c>
      <c r="CE248" s="16">
        <f t="shared" si="160"/>
        <v>1</v>
      </c>
      <c r="CF248" s="16" t="e">
        <f>SUM(#REF!/(CC248+CB248))</f>
        <v>#REF!</v>
      </c>
      <c r="CG248" s="17"/>
      <c r="CH248" s="17"/>
      <c r="CI248" s="17"/>
      <c r="CJ248" s="17"/>
      <c r="CV248" s="346">
        <f t="shared" si="154"/>
        <v>1</v>
      </c>
    </row>
    <row r="249" spans="1:100" s="1" customFormat="1" ht="83.25" customHeight="1" x14ac:dyDescent="0.25">
      <c r="A249" s="354" t="s">
        <v>79</v>
      </c>
      <c r="B249" s="354" t="s">
        <v>80</v>
      </c>
      <c r="C249" s="354" t="s">
        <v>81</v>
      </c>
      <c r="D249" s="354" t="s">
        <v>82</v>
      </c>
      <c r="E249" s="354" t="s">
        <v>83</v>
      </c>
      <c r="F249" s="354" t="s">
        <v>84</v>
      </c>
      <c r="G249" s="354" t="s">
        <v>85</v>
      </c>
      <c r="H249" s="354" t="s">
        <v>86</v>
      </c>
      <c r="I249" s="354" t="s">
        <v>87</v>
      </c>
      <c r="J249" s="354" t="s">
        <v>152</v>
      </c>
      <c r="K249" s="348" t="s">
        <v>1749</v>
      </c>
      <c r="L249" s="348" t="s">
        <v>1750</v>
      </c>
      <c r="M249" s="686" t="s">
        <v>1790</v>
      </c>
      <c r="N249" s="361" t="s">
        <v>1750</v>
      </c>
      <c r="O249" s="361" t="s">
        <v>1750</v>
      </c>
      <c r="P249" s="922">
        <v>39542136.277533107</v>
      </c>
      <c r="Q249" s="348" t="s">
        <v>1752</v>
      </c>
      <c r="R249" s="348" t="s">
        <v>213</v>
      </c>
      <c r="S249" s="384">
        <v>1</v>
      </c>
      <c r="T249" s="348" t="s">
        <v>1791</v>
      </c>
      <c r="U249" s="355" t="s">
        <v>1784</v>
      </c>
      <c r="V249" s="348" t="s">
        <v>98</v>
      </c>
      <c r="W249" s="355" t="s">
        <v>1792</v>
      </c>
      <c r="X249" s="430">
        <v>0</v>
      </c>
      <c r="Y249" s="430">
        <v>0</v>
      </c>
      <c r="Z249" s="430">
        <v>0</v>
      </c>
      <c r="AA249" s="431">
        <v>1</v>
      </c>
      <c r="AB249" s="525">
        <v>7.69</v>
      </c>
      <c r="AC249" s="525">
        <v>7.69</v>
      </c>
      <c r="AD249" s="413">
        <v>0.37692300000000001</v>
      </c>
      <c r="AE249" s="413">
        <v>0.37727272727272726</v>
      </c>
      <c r="AF249" s="692">
        <f t="shared" si="125"/>
        <v>0</v>
      </c>
      <c r="AG249" s="693" t="s">
        <v>146</v>
      </c>
      <c r="AH249" s="724">
        <v>0</v>
      </c>
      <c r="AI249" s="696" t="s">
        <v>1756</v>
      </c>
      <c r="AJ249" s="725" t="s">
        <v>1793</v>
      </c>
      <c r="AK249" s="693"/>
      <c r="AL249" s="692">
        <f t="shared" si="141"/>
        <v>0</v>
      </c>
      <c r="AM249" s="695" t="s">
        <v>121</v>
      </c>
      <c r="AN249" s="693">
        <f t="shared" si="142"/>
        <v>0</v>
      </c>
      <c r="AO249" s="693">
        <f t="shared" si="143"/>
        <v>0</v>
      </c>
      <c r="AP249" s="693">
        <f t="shared" si="144"/>
        <v>0</v>
      </c>
      <c r="AQ249" s="693"/>
      <c r="AR249" s="401">
        <f t="shared" si="126"/>
        <v>0</v>
      </c>
      <c r="AS249" s="402" t="s">
        <v>146</v>
      </c>
      <c r="AT249" s="633">
        <v>0</v>
      </c>
      <c r="AU249" s="404" t="s">
        <v>1756</v>
      </c>
      <c r="AV249" s="634" t="s">
        <v>1793</v>
      </c>
      <c r="AW249" s="729"/>
      <c r="AX249" s="397">
        <f t="shared" si="146"/>
        <v>0</v>
      </c>
      <c r="AY249" s="399" t="s">
        <v>121</v>
      </c>
      <c r="AZ249" s="398">
        <f t="shared" si="147"/>
        <v>0</v>
      </c>
      <c r="BA249" s="398">
        <f t="shared" si="148"/>
        <v>0</v>
      </c>
      <c r="BB249" s="398">
        <f t="shared" si="149"/>
        <v>0</v>
      </c>
      <c r="BC249" s="15"/>
      <c r="BD249" s="14">
        <f t="shared" si="150"/>
        <v>0</v>
      </c>
      <c r="BE249" s="645" t="s">
        <v>100</v>
      </c>
      <c r="BF249" s="442"/>
      <c r="BG249" s="791" t="s">
        <v>1756</v>
      </c>
      <c r="BH249" s="792" t="s">
        <v>1794</v>
      </c>
      <c r="BI249" s="658" t="str">
        <f t="shared" si="127"/>
        <v>BAJO</v>
      </c>
      <c r="BJ249" s="681">
        <f t="shared" si="151"/>
        <v>0</v>
      </c>
      <c r="BK249" s="647" t="s">
        <v>1795</v>
      </c>
      <c r="BL249" s="682">
        <f t="shared" si="128"/>
        <v>0</v>
      </c>
      <c r="BM249" s="682">
        <f t="shared" si="129"/>
        <v>0</v>
      </c>
      <c r="BN249" s="682">
        <f t="shared" si="130"/>
        <v>0</v>
      </c>
      <c r="BO249" s="658"/>
      <c r="BP249" s="853">
        <f t="shared" si="155"/>
        <v>1</v>
      </c>
      <c r="BQ249" s="854" t="s">
        <v>105</v>
      </c>
      <c r="BR249" s="901">
        <f>100/100</f>
        <v>1</v>
      </c>
      <c r="BS249" s="898" t="s">
        <v>1796</v>
      </c>
      <c r="BT249" s="902"/>
      <c r="BU249" s="905" t="str">
        <f t="shared" si="152"/>
        <v>ALTO</v>
      </c>
      <c r="BV249" s="875">
        <f t="shared" si="158"/>
        <v>1</v>
      </c>
      <c r="BW249" s="859" t="s">
        <v>1771</v>
      </c>
      <c r="BX249" s="857">
        <f t="shared" si="131"/>
        <v>7.69</v>
      </c>
      <c r="BY249" s="857">
        <f t="shared" si="132"/>
        <v>7.69</v>
      </c>
      <c r="BZ249" s="857">
        <f t="shared" si="133"/>
        <v>0.37692300000000001</v>
      </c>
      <c r="CA249" s="857">
        <f t="shared" si="134"/>
        <v>0.37727272727272726</v>
      </c>
      <c r="CB249" s="16">
        <f t="shared" si="135"/>
        <v>1</v>
      </c>
      <c r="CC249" s="16">
        <f t="shared" si="136"/>
        <v>0</v>
      </c>
      <c r="CD249" s="16">
        <f t="shared" si="159"/>
        <v>1</v>
      </c>
      <c r="CE249" s="16">
        <f t="shared" si="160"/>
        <v>1</v>
      </c>
      <c r="CF249" s="16" t="e">
        <f>SUM(#REF!/(CC249+CB249))</f>
        <v>#REF!</v>
      </c>
      <c r="CG249" s="17"/>
      <c r="CH249" s="17"/>
      <c r="CI249" s="17"/>
      <c r="CJ249" s="17"/>
      <c r="CV249" s="346">
        <f t="shared" si="154"/>
        <v>1</v>
      </c>
    </row>
    <row r="250" spans="1:100" s="1" customFormat="1" ht="91.5" customHeight="1" x14ac:dyDescent="0.25">
      <c r="A250" s="354" t="s">
        <v>79</v>
      </c>
      <c r="B250" s="354" t="s">
        <v>80</v>
      </c>
      <c r="C250" s="354" t="s">
        <v>81</v>
      </c>
      <c r="D250" s="354" t="s">
        <v>82</v>
      </c>
      <c r="E250" s="354" t="s">
        <v>83</v>
      </c>
      <c r="F250" s="354" t="s">
        <v>84</v>
      </c>
      <c r="G250" s="354" t="s">
        <v>85</v>
      </c>
      <c r="H250" s="354" t="s">
        <v>86</v>
      </c>
      <c r="I250" s="354" t="s">
        <v>87</v>
      </c>
      <c r="J250" s="354" t="s">
        <v>152</v>
      </c>
      <c r="K250" s="348" t="s">
        <v>1749</v>
      </c>
      <c r="L250" s="348" t="s">
        <v>1750</v>
      </c>
      <c r="M250" s="686" t="s">
        <v>1797</v>
      </c>
      <c r="N250" s="361" t="s">
        <v>1750</v>
      </c>
      <c r="O250" s="361" t="s">
        <v>1750</v>
      </c>
      <c r="P250" s="922">
        <v>39542136.277533107</v>
      </c>
      <c r="Q250" s="348" t="s">
        <v>1752</v>
      </c>
      <c r="R250" s="348" t="s">
        <v>213</v>
      </c>
      <c r="S250" s="385">
        <v>1</v>
      </c>
      <c r="T250" s="348" t="s">
        <v>1797</v>
      </c>
      <c r="U250" s="355" t="s">
        <v>1798</v>
      </c>
      <c r="V250" s="348" t="s">
        <v>98</v>
      </c>
      <c r="W250" s="355" t="s">
        <v>1799</v>
      </c>
      <c r="X250" s="430">
        <v>0</v>
      </c>
      <c r="Y250" s="430">
        <v>0</v>
      </c>
      <c r="Z250" s="430">
        <v>0.5</v>
      </c>
      <c r="AA250" s="431">
        <v>0.5</v>
      </c>
      <c r="AB250" s="525">
        <v>7.69</v>
      </c>
      <c r="AC250" s="525">
        <v>7.69</v>
      </c>
      <c r="AD250" s="413">
        <v>0.37692300000000001</v>
      </c>
      <c r="AE250" s="413">
        <v>0.37727272727272726</v>
      </c>
      <c r="AF250" s="692">
        <f t="shared" ref="AF250:AF280" si="161">X250</f>
        <v>0</v>
      </c>
      <c r="AG250" s="693" t="s">
        <v>146</v>
      </c>
      <c r="AH250" s="724">
        <v>0</v>
      </c>
      <c r="AI250" s="696" t="s">
        <v>1756</v>
      </c>
      <c r="AJ250" s="725" t="s">
        <v>1800</v>
      </c>
      <c r="AK250" s="693"/>
      <c r="AL250" s="692">
        <f t="shared" si="141"/>
        <v>0</v>
      </c>
      <c r="AM250" s="695" t="s">
        <v>121</v>
      </c>
      <c r="AN250" s="693">
        <f t="shared" si="142"/>
        <v>0</v>
      </c>
      <c r="AO250" s="693">
        <f t="shared" si="143"/>
        <v>0</v>
      </c>
      <c r="AP250" s="693">
        <f t="shared" si="144"/>
        <v>0</v>
      </c>
      <c r="AQ250" s="693"/>
      <c r="AR250" s="401">
        <f t="shared" ref="AR250:AR280" si="162">Y250</f>
        <v>0</v>
      </c>
      <c r="AS250" s="402" t="s">
        <v>146</v>
      </c>
      <c r="AT250" s="633">
        <v>0</v>
      </c>
      <c r="AU250" s="404" t="s">
        <v>1756</v>
      </c>
      <c r="AV250" s="634" t="s">
        <v>1801</v>
      </c>
      <c r="AW250" s="729"/>
      <c r="AX250" s="397">
        <f t="shared" si="146"/>
        <v>0</v>
      </c>
      <c r="AY250" s="399" t="s">
        <v>121</v>
      </c>
      <c r="AZ250" s="398">
        <f t="shared" si="147"/>
        <v>0</v>
      </c>
      <c r="BA250" s="398">
        <f t="shared" si="148"/>
        <v>0</v>
      </c>
      <c r="BB250" s="398">
        <f t="shared" si="149"/>
        <v>0</v>
      </c>
      <c r="BC250" s="15"/>
      <c r="BD250" s="14">
        <f t="shared" si="150"/>
        <v>0.5</v>
      </c>
      <c r="BE250" s="645" t="s">
        <v>100</v>
      </c>
      <c r="BF250" s="442">
        <v>1</v>
      </c>
      <c r="BG250" s="792" t="s">
        <v>1802</v>
      </c>
      <c r="BH250" s="792"/>
      <c r="BI250" s="658" t="str">
        <f t="shared" si="127"/>
        <v>ALTO</v>
      </c>
      <c r="BJ250" s="681">
        <f t="shared" si="151"/>
        <v>0.5</v>
      </c>
      <c r="BK250" s="647" t="s">
        <v>1803</v>
      </c>
      <c r="BL250" s="682">
        <f t="shared" si="128"/>
        <v>6.5019505851755519E-2</v>
      </c>
      <c r="BM250" s="682">
        <f t="shared" si="129"/>
        <v>6.5019505851755519E-2</v>
      </c>
      <c r="BN250" s="682">
        <f t="shared" si="130"/>
        <v>1.3265308829654863</v>
      </c>
      <c r="BO250" s="658"/>
      <c r="BP250" s="853">
        <f t="shared" si="155"/>
        <v>0.5</v>
      </c>
      <c r="BQ250" s="854" t="s">
        <v>105</v>
      </c>
      <c r="BR250" s="901">
        <f>100/100</f>
        <v>1</v>
      </c>
      <c r="BS250" s="902" t="s">
        <v>1802</v>
      </c>
      <c r="BT250" s="902"/>
      <c r="BU250" s="905" t="str">
        <f t="shared" si="152"/>
        <v>ALTO</v>
      </c>
      <c r="BV250" s="875">
        <f t="shared" si="158"/>
        <v>0.5</v>
      </c>
      <c r="BW250" s="859" t="s">
        <v>1771</v>
      </c>
      <c r="BX250" s="857">
        <f t="shared" si="131"/>
        <v>3.8450000000000002</v>
      </c>
      <c r="BY250" s="857">
        <f t="shared" si="132"/>
        <v>3.8450000000000002</v>
      </c>
      <c r="BZ250" s="857">
        <f t="shared" si="133"/>
        <v>0.1884615</v>
      </c>
      <c r="CA250" s="857">
        <f t="shared" si="134"/>
        <v>0.18863636363636363</v>
      </c>
      <c r="CB250" s="16">
        <f t="shared" si="135"/>
        <v>1</v>
      </c>
      <c r="CC250" s="16">
        <f t="shared" si="136"/>
        <v>0</v>
      </c>
      <c r="CD250" s="16">
        <f t="shared" si="159"/>
        <v>1</v>
      </c>
      <c r="CE250" s="16">
        <f t="shared" si="160"/>
        <v>1</v>
      </c>
      <c r="CF250" s="16" t="e">
        <f>SUM(#REF!/(CC250+CB250))</f>
        <v>#REF!</v>
      </c>
      <c r="CG250" s="17"/>
      <c r="CH250" s="17"/>
      <c r="CI250" s="17"/>
      <c r="CJ250" s="17"/>
      <c r="CV250" s="346">
        <f t="shared" si="154"/>
        <v>1</v>
      </c>
    </row>
    <row r="251" spans="1:100" s="1" customFormat="1" ht="65.099999999999994" customHeight="1" x14ac:dyDescent="0.25">
      <c r="A251" s="356" t="s">
        <v>79</v>
      </c>
      <c r="B251" s="356" t="s">
        <v>80</v>
      </c>
      <c r="C251" s="356" t="s">
        <v>81</v>
      </c>
      <c r="D251" s="356" t="s">
        <v>82</v>
      </c>
      <c r="E251" s="356" t="s">
        <v>83</v>
      </c>
      <c r="F251" s="356" t="s">
        <v>84</v>
      </c>
      <c r="G251" s="356" t="s">
        <v>85</v>
      </c>
      <c r="H251" s="356" t="s">
        <v>86</v>
      </c>
      <c r="I251" s="356" t="s">
        <v>87</v>
      </c>
      <c r="J251" s="356" t="s">
        <v>152</v>
      </c>
      <c r="K251" s="357" t="s">
        <v>1749</v>
      </c>
      <c r="L251" s="357" t="s">
        <v>1750</v>
      </c>
      <c r="M251" s="357" t="s">
        <v>153</v>
      </c>
      <c r="N251" s="367" t="s">
        <v>91</v>
      </c>
      <c r="O251" s="367" t="s">
        <v>154</v>
      </c>
      <c r="P251" s="930">
        <v>39542136.277533107</v>
      </c>
      <c r="Q251" s="357" t="s">
        <v>1752</v>
      </c>
      <c r="R251" s="357" t="s">
        <v>156</v>
      </c>
      <c r="S251" s="357">
        <v>3</v>
      </c>
      <c r="T251" s="369" t="s">
        <v>157</v>
      </c>
      <c r="U251" s="357" t="s">
        <v>158</v>
      </c>
      <c r="V251" s="370" t="s">
        <v>98</v>
      </c>
      <c r="W251" s="497" t="s">
        <v>159</v>
      </c>
      <c r="X251" s="432">
        <v>0</v>
      </c>
      <c r="Y251" s="432">
        <v>0.34</v>
      </c>
      <c r="Z251" s="432">
        <v>0.33</v>
      </c>
      <c r="AA251" s="444">
        <v>0.33</v>
      </c>
      <c r="AB251" s="814">
        <v>15.38</v>
      </c>
      <c r="AC251" s="814">
        <v>15.38</v>
      </c>
      <c r="AD251" s="815">
        <v>0.75380000000000003</v>
      </c>
      <c r="AE251" s="413">
        <v>0.37727272727272726</v>
      </c>
      <c r="AF251" s="816">
        <f t="shared" si="161"/>
        <v>0</v>
      </c>
      <c r="AG251" s="817" t="s">
        <v>146</v>
      </c>
      <c r="AH251" s="432">
        <v>0</v>
      </c>
      <c r="AI251" s="831" t="s">
        <v>1756</v>
      </c>
      <c r="AJ251" s="835" t="s">
        <v>1804</v>
      </c>
      <c r="AK251" s="817"/>
      <c r="AL251" s="816">
        <f t="shared" si="141"/>
        <v>0</v>
      </c>
      <c r="AM251" s="825" t="s">
        <v>121</v>
      </c>
      <c r="AN251" s="817">
        <f t="shared" si="142"/>
        <v>0</v>
      </c>
      <c r="AO251" s="817">
        <f t="shared" si="143"/>
        <v>0</v>
      </c>
      <c r="AP251" s="817">
        <f t="shared" si="144"/>
        <v>0</v>
      </c>
      <c r="AQ251" s="817"/>
      <c r="AR251" s="816">
        <f t="shared" si="162"/>
        <v>0.34</v>
      </c>
      <c r="AS251" s="817" t="s">
        <v>100</v>
      </c>
      <c r="AT251" s="836">
        <f>7/7</f>
        <v>1</v>
      </c>
      <c r="AU251" s="837" t="s">
        <v>1787</v>
      </c>
      <c r="AV251" s="838"/>
      <c r="AW251" s="821" t="str">
        <f t="shared" si="145"/>
        <v>ALTO</v>
      </c>
      <c r="AX251" s="822">
        <f t="shared" si="146"/>
        <v>0.34</v>
      </c>
      <c r="AY251" s="823" t="s">
        <v>1468</v>
      </c>
      <c r="AZ251" s="316">
        <f t="shared" si="147"/>
        <v>5.2292000000000005</v>
      </c>
      <c r="BA251" s="316">
        <f t="shared" si="148"/>
        <v>5.2292000000000005</v>
      </c>
      <c r="BB251" s="316">
        <f t="shared" si="149"/>
        <v>0.25629200000000002</v>
      </c>
      <c r="BC251" s="15"/>
      <c r="BD251" s="822">
        <f t="shared" si="150"/>
        <v>0.33</v>
      </c>
      <c r="BE251" s="817" t="s">
        <v>100</v>
      </c>
      <c r="BF251" s="432">
        <v>1</v>
      </c>
      <c r="BG251" s="835" t="s">
        <v>1805</v>
      </c>
      <c r="BH251" s="835"/>
      <c r="BI251" s="317" t="str">
        <f t="shared" si="127"/>
        <v>ALTO</v>
      </c>
      <c r="BJ251" s="827">
        <f t="shared" si="151"/>
        <v>0.33</v>
      </c>
      <c r="BK251" s="813" t="s">
        <v>1806</v>
      </c>
      <c r="BL251" s="828">
        <f t="shared" si="128"/>
        <v>2.1456436931079324E-2</v>
      </c>
      <c r="BM251" s="828">
        <f t="shared" si="129"/>
        <v>2.1456436931079324E-2</v>
      </c>
      <c r="BN251" s="828">
        <f t="shared" si="130"/>
        <v>0.43778190501459274</v>
      </c>
      <c r="BO251" s="317"/>
      <c r="BP251" s="853">
        <f t="shared" si="155"/>
        <v>0.33</v>
      </c>
      <c r="BQ251" s="854" t="s">
        <v>105</v>
      </c>
      <c r="BR251" s="901">
        <v>1</v>
      </c>
      <c r="BS251" s="902" t="s">
        <v>1807</v>
      </c>
      <c r="BT251" s="902"/>
      <c r="BU251" s="905" t="str">
        <f t="shared" si="152"/>
        <v>ALTO</v>
      </c>
      <c r="BV251" s="875">
        <f t="shared" si="158"/>
        <v>0.33</v>
      </c>
      <c r="BW251" s="859" t="s">
        <v>336</v>
      </c>
      <c r="BX251" s="857">
        <f t="shared" si="131"/>
        <v>5.0754000000000001</v>
      </c>
      <c r="BY251" s="857">
        <f t="shared" si="132"/>
        <v>5.0754000000000001</v>
      </c>
      <c r="BZ251" s="857">
        <f t="shared" si="133"/>
        <v>0.24875400000000003</v>
      </c>
      <c r="CA251" s="857">
        <f t="shared" si="134"/>
        <v>0.1245</v>
      </c>
      <c r="CB251" s="16">
        <f t="shared" si="135"/>
        <v>0.66</v>
      </c>
      <c r="CC251" s="16">
        <f t="shared" si="136"/>
        <v>0.34</v>
      </c>
      <c r="CD251" s="16">
        <f t="shared" si="159"/>
        <v>1</v>
      </c>
      <c r="CE251" s="16">
        <f t="shared" si="160"/>
        <v>1</v>
      </c>
      <c r="CF251" s="16" t="e">
        <f>SUM(#REF!/(CC251+CB251))</f>
        <v>#REF!</v>
      </c>
      <c r="CG251" s="17"/>
      <c r="CH251" s="17"/>
      <c r="CI251" s="17"/>
      <c r="CJ251" s="17"/>
      <c r="CK251" s="3" t="s">
        <v>165</v>
      </c>
      <c r="CV251" s="346">
        <f t="shared" si="154"/>
        <v>1</v>
      </c>
    </row>
    <row r="252" spans="1:100" s="1" customFormat="1" ht="65.099999999999994" customHeight="1" x14ac:dyDescent="0.25">
      <c r="A252" s="356" t="s">
        <v>79</v>
      </c>
      <c r="B252" s="356" t="s">
        <v>80</v>
      </c>
      <c r="C252" s="356" t="s">
        <v>81</v>
      </c>
      <c r="D252" s="356" t="s">
        <v>82</v>
      </c>
      <c r="E252" s="356" t="s">
        <v>83</v>
      </c>
      <c r="F252" s="356" t="s">
        <v>84</v>
      </c>
      <c r="G252" s="356" t="s">
        <v>85</v>
      </c>
      <c r="H252" s="356" t="s">
        <v>86</v>
      </c>
      <c r="I252" s="356" t="s">
        <v>87</v>
      </c>
      <c r="J252" s="356" t="s">
        <v>152</v>
      </c>
      <c r="K252" s="357" t="s">
        <v>1749</v>
      </c>
      <c r="L252" s="357" t="s">
        <v>1750</v>
      </c>
      <c r="M252" s="357" t="s">
        <v>166</v>
      </c>
      <c r="N252" s="367" t="s">
        <v>91</v>
      </c>
      <c r="O252" s="367" t="s">
        <v>154</v>
      </c>
      <c r="P252" s="930">
        <v>39542136.277533107</v>
      </c>
      <c r="Q252" s="357" t="s">
        <v>1752</v>
      </c>
      <c r="R252" s="357" t="s">
        <v>156</v>
      </c>
      <c r="S252" s="357">
        <v>3</v>
      </c>
      <c r="T252" s="377" t="s">
        <v>167</v>
      </c>
      <c r="U252" s="357" t="s">
        <v>168</v>
      </c>
      <c r="V252" s="357" t="s">
        <v>98</v>
      </c>
      <c r="W252" s="497" t="s">
        <v>616</v>
      </c>
      <c r="X252" s="432">
        <v>0</v>
      </c>
      <c r="Y252" s="432">
        <v>0.34</v>
      </c>
      <c r="Z252" s="432">
        <v>0.33</v>
      </c>
      <c r="AA252" s="444">
        <v>0.33</v>
      </c>
      <c r="AB252" s="814">
        <v>7.69</v>
      </c>
      <c r="AC252" s="814">
        <v>7.69</v>
      </c>
      <c r="AD252" s="815">
        <v>0.37692300000000001</v>
      </c>
      <c r="AE252" s="413">
        <v>0.37727272727272726</v>
      </c>
      <c r="AF252" s="816">
        <f t="shared" si="161"/>
        <v>0</v>
      </c>
      <c r="AG252" s="817" t="s">
        <v>146</v>
      </c>
      <c r="AH252" s="432">
        <v>0</v>
      </c>
      <c r="AI252" s="831" t="s">
        <v>1756</v>
      </c>
      <c r="AJ252" s="835" t="s">
        <v>1804</v>
      </c>
      <c r="AK252" s="817"/>
      <c r="AL252" s="816">
        <f t="shared" si="141"/>
        <v>0</v>
      </c>
      <c r="AM252" s="825" t="s">
        <v>121</v>
      </c>
      <c r="AN252" s="817">
        <f t="shared" si="142"/>
        <v>0</v>
      </c>
      <c r="AO252" s="817">
        <f t="shared" si="143"/>
        <v>0</v>
      </c>
      <c r="AP252" s="817">
        <f t="shared" si="144"/>
        <v>0</v>
      </c>
      <c r="AQ252" s="817"/>
      <c r="AR252" s="816">
        <f t="shared" si="162"/>
        <v>0.34</v>
      </c>
      <c r="AS252" s="817" t="s">
        <v>100</v>
      </c>
      <c r="AT252" s="836">
        <f>1/1</f>
        <v>1</v>
      </c>
      <c r="AU252" s="837" t="s">
        <v>1808</v>
      </c>
      <c r="AV252" s="819"/>
      <c r="AW252" s="821" t="str">
        <f t="shared" si="145"/>
        <v>ALTO</v>
      </c>
      <c r="AX252" s="822">
        <f t="shared" si="146"/>
        <v>0.34</v>
      </c>
      <c r="AY252" s="823" t="s">
        <v>1468</v>
      </c>
      <c r="AZ252" s="316">
        <f t="shared" si="147"/>
        <v>2.6146000000000003</v>
      </c>
      <c r="BA252" s="316">
        <f t="shared" si="148"/>
        <v>2.6146000000000003</v>
      </c>
      <c r="BB252" s="316">
        <f t="shared" si="149"/>
        <v>0.12815382</v>
      </c>
      <c r="BC252" s="15"/>
      <c r="BD252" s="822">
        <f t="shared" si="150"/>
        <v>0.33</v>
      </c>
      <c r="BE252" s="817" t="s">
        <v>100</v>
      </c>
      <c r="BF252" s="432">
        <v>1</v>
      </c>
      <c r="BG252" s="835" t="s">
        <v>1809</v>
      </c>
      <c r="BH252" s="835"/>
      <c r="BI252" s="317" t="str">
        <f t="shared" si="127"/>
        <v>ALTO</v>
      </c>
      <c r="BJ252" s="827">
        <f t="shared" si="151"/>
        <v>0.33</v>
      </c>
      <c r="BK252" s="813" t="s">
        <v>1810</v>
      </c>
      <c r="BL252" s="828">
        <f t="shared" si="128"/>
        <v>4.2912873862158647E-2</v>
      </c>
      <c r="BM252" s="828">
        <f t="shared" si="129"/>
        <v>4.2912873862158647E-2</v>
      </c>
      <c r="BN252" s="828">
        <f t="shared" si="130"/>
        <v>0.87551038275722104</v>
      </c>
      <c r="BO252" s="317"/>
      <c r="BP252" s="853">
        <f t="shared" si="155"/>
        <v>0.33</v>
      </c>
      <c r="BQ252" s="854" t="s">
        <v>105</v>
      </c>
      <c r="BR252" s="901">
        <v>1</v>
      </c>
      <c r="BS252" s="902" t="s">
        <v>1811</v>
      </c>
      <c r="BT252" s="902"/>
      <c r="BU252" s="905" t="str">
        <f t="shared" si="152"/>
        <v>ALTO</v>
      </c>
      <c r="BV252" s="875">
        <f t="shared" si="158"/>
        <v>0.33</v>
      </c>
      <c r="BW252" s="859" t="s">
        <v>1496</v>
      </c>
      <c r="BX252" s="857">
        <f t="shared" si="131"/>
        <v>2.5377000000000001</v>
      </c>
      <c r="BY252" s="857">
        <f t="shared" si="132"/>
        <v>2.5377000000000001</v>
      </c>
      <c r="BZ252" s="857">
        <f t="shared" si="133"/>
        <v>0.12438459</v>
      </c>
      <c r="CA252" s="857">
        <f t="shared" si="134"/>
        <v>0.1245</v>
      </c>
      <c r="CB252" s="16">
        <f t="shared" si="135"/>
        <v>0.66</v>
      </c>
      <c r="CC252" s="16">
        <f t="shared" si="136"/>
        <v>0.34</v>
      </c>
      <c r="CD252" s="16">
        <f t="shared" si="159"/>
        <v>1</v>
      </c>
      <c r="CE252" s="16">
        <f t="shared" si="160"/>
        <v>1</v>
      </c>
      <c r="CF252" s="16" t="e">
        <f>SUM(#REF!/(CC252+CB252))</f>
        <v>#REF!</v>
      </c>
      <c r="CG252" s="17"/>
      <c r="CH252" s="17"/>
      <c r="CI252" s="17"/>
      <c r="CJ252" s="17"/>
      <c r="CK252" s="3" t="s">
        <v>165</v>
      </c>
      <c r="CV252" s="346">
        <f t="shared" si="154"/>
        <v>1</v>
      </c>
    </row>
    <row r="253" spans="1:100" s="1" customFormat="1" ht="65.099999999999994" customHeight="1" x14ac:dyDescent="0.25">
      <c r="A253" s="356" t="s">
        <v>79</v>
      </c>
      <c r="B253" s="356" t="s">
        <v>80</v>
      </c>
      <c r="C253" s="356" t="s">
        <v>81</v>
      </c>
      <c r="D253" s="356" t="s">
        <v>82</v>
      </c>
      <c r="E253" s="356" t="s">
        <v>83</v>
      </c>
      <c r="F253" s="356" t="s">
        <v>84</v>
      </c>
      <c r="G253" s="356" t="s">
        <v>85</v>
      </c>
      <c r="H253" s="356" t="s">
        <v>86</v>
      </c>
      <c r="I253" s="356" t="s">
        <v>87</v>
      </c>
      <c r="J253" s="356" t="s">
        <v>152</v>
      </c>
      <c r="K253" s="357" t="s">
        <v>1749</v>
      </c>
      <c r="L253" s="357" t="s">
        <v>1750</v>
      </c>
      <c r="M253" s="357" t="s">
        <v>174</v>
      </c>
      <c r="N253" s="367" t="s">
        <v>91</v>
      </c>
      <c r="O253" s="367" t="s">
        <v>154</v>
      </c>
      <c r="P253" s="930">
        <v>39542136.277533107</v>
      </c>
      <c r="Q253" s="357" t="s">
        <v>1752</v>
      </c>
      <c r="R253" s="357" t="s">
        <v>156</v>
      </c>
      <c r="S253" s="357">
        <v>3</v>
      </c>
      <c r="T253" s="371" t="s">
        <v>175</v>
      </c>
      <c r="U253" s="357" t="s">
        <v>176</v>
      </c>
      <c r="V253" s="357" t="s">
        <v>98</v>
      </c>
      <c r="W253" s="497" t="s">
        <v>159</v>
      </c>
      <c r="X253" s="432">
        <v>0</v>
      </c>
      <c r="Y253" s="432">
        <v>0.33</v>
      </c>
      <c r="Z253" s="432">
        <v>0.33</v>
      </c>
      <c r="AA253" s="444">
        <v>0.34</v>
      </c>
      <c r="AB253" s="814">
        <v>7.69</v>
      </c>
      <c r="AC253" s="814">
        <v>7.69</v>
      </c>
      <c r="AD253" s="815">
        <v>0.37692300000000001</v>
      </c>
      <c r="AE253" s="413">
        <v>0.37727272727272726</v>
      </c>
      <c r="AF253" s="816">
        <f t="shared" si="161"/>
        <v>0</v>
      </c>
      <c r="AG253" s="817" t="s">
        <v>146</v>
      </c>
      <c r="AH253" s="432">
        <v>0</v>
      </c>
      <c r="AI253" s="831" t="s">
        <v>1756</v>
      </c>
      <c r="AJ253" s="835" t="s">
        <v>1804</v>
      </c>
      <c r="AK253" s="817"/>
      <c r="AL253" s="816">
        <f t="shared" si="141"/>
        <v>0</v>
      </c>
      <c r="AM253" s="825" t="s">
        <v>121</v>
      </c>
      <c r="AN253" s="817">
        <f t="shared" si="142"/>
        <v>0</v>
      </c>
      <c r="AO253" s="817">
        <f t="shared" si="143"/>
        <v>0</v>
      </c>
      <c r="AP253" s="817">
        <f t="shared" si="144"/>
        <v>0</v>
      </c>
      <c r="AQ253" s="817"/>
      <c r="AR253" s="816">
        <f t="shared" si="162"/>
        <v>0.33</v>
      </c>
      <c r="AS253" s="817" t="s">
        <v>100</v>
      </c>
      <c r="AT253" s="836">
        <f>1/1</f>
        <v>1</v>
      </c>
      <c r="AU253" s="837" t="s">
        <v>1812</v>
      </c>
      <c r="AV253" s="819"/>
      <c r="AW253" s="821" t="str">
        <f t="shared" si="145"/>
        <v>ALTO</v>
      </c>
      <c r="AX253" s="822">
        <f t="shared" si="146"/>
        <v>0.33</v>
      </c>
      <c r="AY253" s="823" t="s">
        <v>1468</v>
      </c>
      <c r="AZ253" s="316">
        <f t="shared" si="147"/>
        <v>2.5377000000000001</v>
      </c>
      <c r="BA253" s="316">
        <f t="shared" si="148"/>
        <v>2.5377000000000001</v>
      </c>
      <c r="BB253" s="316">
        <f t="shared" si="149"/>
        <v>0.12438459</v>
      </c>
      <c r="BC253" s="15"/>
      <c r="BD253" s="822">
        <f t="shared" si="150"/>
        <v>0.33</v>
      </c>
      <c r="BE253" s="817" t="s">
        <v>100</v>
      </c>
      <c r="BF253" s="432">
        <v>1</v>
      </c>
      <c r="BG253" s="835" t="s">
        <v>1813</v>
      </c>
      <c r="BH253" s="835"/>
      <c r="BI253" s="317" t="str">
        <f t="shared" si="127"/>
        <v>ALTO</v>
      </c>
      <c r="BJ253" s="827">
        <f t="shared" si="151"/>
        <v>0.33</v>
      </c>
      <c r="BK253" s="813" t="s">
        <v>1814</v>
      </c>
      <c r="BL253" s="828">
        <f t="shared" si="128"/>
        <v>4.2912873862158647E-2</v>
      </c>
      <c r="BM253" s="828">
        <f t="shared" si="129"/>
        <v>4.2912873862158647E-2</v>
      </c>
      <c r="BN253" s="828">
        <f t="shared" si="130"/>
        <v>0.87551038275722104</v>
      </c>
      <c r="BO253" s="317"/>
      <c r="BP253" s="853">
        <f t="shared" si="155"/>
        <v>0.34</v>
      </c>
      <c r="BQ253" s="854" t="s">
        <v>105</v>
      </c>
      <c r="BR253" s="855">
        <v>1</v>
      </c>
      <c r="BS253" s="902" t="s">
        <v>1813</v>
      </c>
      <c r="BT253" s="902"/>
      <c r="BU253" s="905" t="str">
        <f t="shared" si="152"/>
        <v>ALTO</v>
      </c>
      <c r="BV253" s="875">
        <f t="shared" si="158"/>
        <v>0.34</v>
      </c>
      <c r="BW253" s="859" t="s">
        <v>180</v>
      </c>
      <c r="BX253" s="857">
        <f t="shared" si="131"/>
        <v>2.6146000000000003</v>
      </c>
      <c r="BY253" s="857">
        <f t="shared" si="132"/>
        <v>2.6146000000000003</v>
      </c>
      <c r="BZ253" s="857">
        <f t="shared" si="133"/>
        <v>0.12815382</v>
      </c>
      <c r="CA253" s="857">
        <f t="shared" si="134"/>
        <v>0.12827272727272729</v>
      </c>
      <c r="CB253" s="16">
        <f t="shared" si="135"/>
        <v>0.67</v>
      </c>
      <c r="CC253" s="16">
        <f t="shared" si="136"/>
        <v>0.33</v>
      </c>
      <c r="CD253" s="16">
        <f t="shared" si="159"/>
        <v>1</v>
      </c>
      <c r="CE253" s="16">
        <f t="shared" si="160"/>
        <v>1</v>
      </c>
      <c r="CF253" s="16" t="e">
        <f>SUM(#REF!/(CC253+CB253))</f>
        <v>#REF!</v>
      </c>
      <c r="CG253" s="17"/>
      <c r="CH253" s="17"/>
      <c r="CI253" s="17"/>
      <c r="CJ253" s="17"/>
      <c r="CK253" s="3" t="s">
        <v>165</v>
      </c>
      <c r="CV253" s="346">
        <f t="shared" si="154"/>
        <v>1</v>
      </c>
    </row>
    <row r="254" spans="1:100" s="1" customFormat="1" ht="65.099999999999994" customHeight="1" x14ac:dyDescent="0.25">
      <c r="A254" s="356" t="s">
        <v>79</v>
      </c>
      <c r="B254" s="356" t="s">
        <v>80</v>
      </c>
      <c r="C254" s="356" t="s">
        <v>81</v>
      </c>
      <c r="D254" s="356" t="s">
        <v>82</v>
      </c>
      <c r="E254" s="356" t="s">
        <v>83</v>
      </c>
      <c r="F254" s="356" t="s">
        <v>84</v>
      </c>
      <c r="G254" s="356" t="s">
        <v>85</v>
      </c>
      <c r="H254" s="356" t="s">
        <v>86</v>
      </c>
      <c r="I254" s="356" t="s">
        <v>87</v>
      </c>
      <c r="J254" s="356" t="s">
        <v>152</v>
      </c>
      <c r="K254" s="357" t="s">
        <v>1749</v>
      </c>
      <c r="L254" s="357" t="s">
        <v>1750</v>
      </c>
      <c r="M254" s="357" t="s">
        <v>181</v>
      </c>
      <c r="N254" s="367" t="s">
        <v>91</v>
      </c>
      <c r="O254" s="367" t="s">
        <v>154</v>
      </c>
      <c r="P254" s="930">
        <v>39542136.277533107</v>
      </c>
      <c r="Q254" s="357" t="s">
        <v>1752</v>
      </c>
      <c r="R254" s="357" t="s">
        <v>156</v>
      </c>
      <c r="S254" s="371">
        <v>1</v>
      </c>
      <c r="T254" s="369" t="s">
        <v>182</v>
      </c>
      <c r="U254" s="357" t="s">
        <v>183</v>
      </c>
      <c r="V254" s="357" t="s">
        <v>98</v>
      </c>
      <c r="W254" s="497" t="s">
        <v>184</v>
      </c>
      <c r="X254" s="432">
        <v>0</v>
      </c>
      <c r="Y254" s="432">
        <v>0</v>
      </c>
      <c r="Z254" s="432">
        <v>0.5</v>
      </c>
      <c r="AA254" s="444">
        <v>0.5</v>
      </c>
      <c r="AB254" s="814">
        <v>7.69</v>
      </c>
      <c r="AC254" s="814">
        <v>7.69</v>
      </c>
      <c r="AD254" s="815">
        <v>0.37692300000000001</v>
      </c>
      <c r="AE254" s="413">
        <v>0.37727272727272726</v>
      </c>
      <c r="AF254" s="816">
        <f t="shared" si="161"/>
        <v>0</v>
      </c>
      <c r="AG254" s="817" t="s">
        <v>146</v>
      </c>
      <c r="AH254" s="432">
        <v>0</v>
      </c>
      <c r="AI254" s="831" t="s">
        <v>1756</v>
      </c>
      <c r="AJ254" s="835" t="s">
        <v>1804</v>
      </c>
      <c r="AK254" s="817"/>
      <c r="AL254" s="816">
        <f t="shared" si="141"/>
        <v>0</v>
      </c>
      <c r="AM254" s="825" t="s">
        <v>121</v>
      </c>
      <c r="AN254" s="817">
        <f t="shared" si="142"/>
        <v>0</v>
      </c>
      <c r="AO254" s="817">
        <f t="shared" si="143"/>
        <v>0</v>
      </c>
      <c r="AP254" s="817">
        <f t="shared" si="144"/>
        <v>0</v>
      </c>
      <c r="AQ254" s="817"/>
      <c r="AR254" s="816">
        <f t="shared" si="162"/>
        <v>0</v>
      </c>
      <c r="AS254" s="817" t="s">
        <v>146</v>
      </c>
      <c r="AT254" s="432">
        <v>0</v>
      </c>
      <c r="AU254" s="831" t="s">
        <v>1756</v>
      </c>
      <c r="AV254" s="835" t="s">
        <v>1815</v>
      </c>
      <c r="AW254" s="821"/>
      <c r="AX254" s="822">
        <f t="shared" si="146"/>
        <v>0</v>
      </c>
      <c r="AY254" s="823" t="s">
        <v>121</v>
      </c>
      <c r="AZ254" s="316">
        <f t="shared" si="147"/>
        <v>0</v>
      </c>
      <c r="BA254" s="316">
        <f t="shared" si="148"/>
        <v>0</v>
      </c>
      <c r="BB254" s="316">
        <f t="shared" si="149"/>
        <v>0</v>
      </c>
      <c r="BC254" s="15"/>
      <c r="BD254" s="822">
        <f t="shared" si="150"/>
        <v>0.5</v>
      </c>
      <c r="BE254" s="817" t="s">
        <v>146</v>
      </c>
      <c r="BF254" s="432">
        <v>1</v>
      </c>
      <c r="BG254" s="835" t="s">
        <v>1816</v>
      </c>
      <c r="BH254" s="835"/>
      <c r="BI254" s="317" t="str">
        <f t="shared" si="127"/>
        <v>ALTO</v>
      </c>
      <c r="BJ254" s="827">
        <f t="shared" si="151"/>
        <v>0.5</v>
      </c>
      <c r="BK254" s="813" t="s">
        <v>1817</v>
      </c>
      <c r="BL254" s="828">
        <f t="shared" si="128"/>
        <v>6.5019505851755519E-2</v>
      </c>
      <c r="BM254" s="828">
        <f t="shared" si="129"/>
        <v>6.5019505851755519E-2</v>
      </c>
      <c r="BN254" s="828">
        <f t="shared" si="130"/>
        <v>1.3265308829654863</v>
      </c>
      <c r="BO254" s="317"/>
      <c r="BP254" s="853">
        <f t="shared" si="155"/>
        <v>0.5</v>
      </c>
      <c r="BQ254" s="854" t="s">
        <v>105</v>
      </c>
      <c r="BR254" s="901">
        <v>1</v>
      </c>
      <c r="BS254" s="902" t="s">
        <v>1816</v>
      </c>
      <c r="BT254" s="902"/>
      <c r="BU254" s="905" t="str">
        <f t="shared" si="152"/>
        <v>ALTO</v>
      </c>
      <c r="BV254" s="875">
        <f t="shared" si="158"/>
        <v>0.5</v>
      </c>
      <c r="BW254" s="859" t="s">
        <v>531</v>
      </c>
      <c r="BX254" s="857">
        <f t="shared" si="131"/>
        <v>3.8450000000000002</v>
      </c>
      <c r="BY254" s="857">
        <f t="shared" si="132"/>
        <v>3.8450000000000002</v>
      </c>
      <c r="BZ254" s="857">
        <f t="shared" si="133"/>
        <v>0.1884615</v>
      </c>
      <c r="CA254" s="857">
        <f t="shared" si="134"/>
        <v>0.18863636363636363</v>
      </c>
      <c r="CB254" s="16">
        <f t="shared" si="135"/>
        <v>1</v>
      </c>
      <c r="CC254" s="16">
        <f t="shared" si="136"/>
        <v>0</v>
      </c>
      <c r="CD254" s="16">
        <f t="shared" si="159"/>
        <v>1</v>
      </c>
      <c r="CE254" s="16">
        <f t="shared" si="160"/>
        <v>1</v>
      </c>
      <c r="CF254" s="16" t="e">
        <f>SUM(#REF!/(CC254+CB254))</f>
        <v>#REF!</v>
      </c>
      <c r="CG254" s="17"/>
      <c r="CH254" s="17"/>
      <c r="CI254" s="17"/>
      <c r="CJ254" s="17"/>
      <c r="CK254" s="3" t="s">
        <v>165</v>
      </c>
      <c r="CV254" s="346">
        <f t="shared" si="154"/>
        <v>1</v>
      </c>
    </row>
    <row r="255" spans="1:100" s="1" customFormat="1" ht="65.099999999999994" customHeight="1" x14ac:dyDescent="0.25">
      <c r="A255" s="356" t="s">
        <v>79</v>
      </c>
      <c r="B255" s="356" t="s">
        <v>80</v>
      </c>
      <c r="C255" s="356" t="s">
        <v>81</v>
      </c>
      <c r="D255" s="356" t="s">
        <v>82</v>
      </c>
      <c r="E255" s="356" t="s">
        <v>83</v>
      </c>
      <c r="F255" s="356" t="s">
        <v>84</v>
      </c>
      <c r="G255" s="356" t="s">
        <v>85</v>
      </c>
      <c r="H255" s="356" t="s">
        <v>86</v>
      </c>
      <c r="I255" s="356" t="s">
        <v>87</v>
      </c>
      <c r="J255" s="356" t="s">
        <v>152</v>
      </c>
      <c r="K255" s="357" t="s">
        <v>1749</v>
      </c>
      <c r="L255" s="357" t="s">
        <v>1750</v>
      </c>
      <c r="M255" s="686" t="s">
        <v>633</v>
      </c>
      <c r="N255" s="367" t="s">
        <v>91</v>
      </c>
      <c r="O255" s="367" t="s">
        <v>154</v>
      </c>
      <c r="P255" s="917"/>
      <c r="Q255" s="357" t="s">
        <v>1752</v>
      </c>
      <c r="R255" s="357" t="s">
        <v>156</v>
      </c>
      <c r="S255" s="378">
        <v>1</v>
      </c>
      <c r="T255" s="369" t="s">
        <v>191</v>
      </c>
      <c r="U255" s="357" t="s">
        <v>158</v>
      </c>
      <c r="V255" s="357" t="s">
        <v>98</v>
      </c>
      <c r="W255" s="497" t="s">
        <v>1818</v>
      </c>
      <c r="X255" s="432">
        <v>0</v>
      </c>
      <c r="Y255" s="432">
        <v>0</v>
      </c>
      <c r="Z255" s="432">
        <v>0</v>
      </c>
      <c r="AA255" s="444">
        <v>0</v>
      </c>
      <c r="AB255" s="814"/>
      <c r="AC255" s="814"/>
      <c r="AD255" s="815"/>
      <c r="AE255" s="413">
        <v>0.37727272727272726</v>
      </c>
      <c r="AF255" s="816">
        <f t="shared" si="161"/>
        <v>0</v>
      </c>
      <c r="AG255" s="817" t="s">
        <v>146</v>
      </c>
      <c r="AH255" s="432">
        <v>0</v>
      </c>
      <c r="AI255" s="831" t="s">
        <v>1756</v>
      </c>
      <c r="AJ255" s="835" t="s">
        <v>1804</v>
      </c>
      <c r="AK255" s="817"/>
      <c r="AL255" s="816">
        <f t="shared" si="141"/>
        <v>0</v>
      </c>
      <c r="AM255" s="825" t="s">
        <v>121</v>
      </c>
      <c r="AN255" s="817">
        <f t="shared" si="142"/>
        <v>0</v>
      </c>
      <c r="AO255" s="817">
        <f t="shared" si="143"/>
        <v>0</v>
      </c>
      <c r="AP255" s="817">
        <f t="shared" si="144"/>
        <v>0</v>
      </c>
      <c r="AQ255" s="817"/>
      <c r="AR255" s="816">
        <f t="shared" si="162"/>
        <v>0</v>
      </c>
      <c r="AS255" s="817" t="s">
        <v>146</v>
      </c>
      <c r="AT255" s="432">
        <f>1/1</f>
        <v>1</v>
      </c>
      <c r="AU255" s="837" t="s">
        <v>1819</v>
      </c>
      <c r="AV255" s="819"/>
      <c r="AW255" s="821" t="str">
        <f t="shared" si="145"/>
        <v>ALTO</v>
      </c>
      <c r="AX255" s="822">
        <f t="shared" si="146"/>
        <v>0</v>
      </c>
      <c r="AY255" s="823" t="s">
        <v>121</v>
      </c>
      <c r="AZ255" s="316">
        <f t="shared" si="147"/>
        <v>0</v>
      </c>
      <c r="BA255" s="316">
        <f t="shared" si="148"/>
        <v>0</v>
      </c>
      <c r="BB255" s="316">
        <f t="shared" si="149"/>
        <v>0</v>
      </c>
      <c r="BC255" s="15"/>
      <c r="BD255" s="822">
        <f t="shared" si="150"/>
        <v>0</v>
      </c>
      <c r="BE255" s="817" t="s">
        <v>146</v>
      </c>
      <c r="BF255" s="432">
        <v>1</v>
      </c>
      <c r="BG255" s="831" t="s">
        <v>1756</v>
      </c>
      <c r="BH255" s="835" t="s">
        <v>1820</v>
      </c>
      <c r="BI255" s="317" t="str">
        <f t="shared" si="127"/>
        <v>ALTO</v>
      </c>
      <c r="BJ255" s="827">
        <f t="shared" si="151"/>
        <v>0</v>
      </c>
      <c r="BK255" s="813" t="s">
        <v>1821</v>
      </c>
      <c r="BL255" s="828" t="e">
        <f t="shared" si="128"/>
        <v>#DIV/0!</v>
      </c>
      <c r="BM255" s="828" t="e">
        <f t="shared" si="129"/>
        <v>#DIV/0!</v>
      </c>
      <c r="BN255" s="828" t="e">
        <f t="shared" si="130"/>
        <v>#DIV/0!</v>
      </c>
      <c r="BO255" s="317"/>
      <c r="BP255" s="853">
        <f t="shared" si="155"/>
        <v>0</v>
      </c>
      <c r="BQ255" s="854" t="s">
        <v>105</v>
      </c>
      <c r="BR255" s="901">
        <v>1</v>
      </c>
      <c r="BS255" s="899" t="s">
        <v>1756</v>
      </c>
      <c r="BT255" s="902" t="s">
        <v>1820</v>
      </c>
      <c r="BU255" s="905" t="str">
        <f t="shared" si="152"/>
        <v>ALTO</v>
      </c>
      <c r="BV255" s="862">
        <f t="shared" si="158"/>
        <v>0</v>
      </c>
      <c r="BW255" s="859" t="s">
        <v>355</v>
      </c>
      <c r="BX255" s="857">
        <f t="shared" si="131"/>
        <v>0</v>
      </c>
      <c r="BY255" s="857">
        <f t="shared" si="132"/>
        <v>0</v>
      </c>
      <c r="BZ255" s="857">
        <f t="shared" si="133"/>
        <v>0</v>
      </c>
      <c r="CA255" s="857">
        <f t="shared" si="134"/>
        <v>0</v>
      </c>
      <c r="CB255" s="16">
        <f t="shared" si="135"/>
        <v>0</v>
      </c>
      <c r="CC255" s="16">
        <f t="shared" si="136"/>
        <v>0</v>
      </c>
      <c r="CD255" s="16"/>
      <c r="CE255" s="16"/>
      <c r="CF255" s="16" t="e">
        <f>SUM(#REF!/(CC255+CB255))</f>
        <v>#REF!</v>
      </c>
      <c r="CG255" s="17"/>
      <c r="CH255" s="17"/>
      <c r="CI255" s="17"/>
      <c r="CJ255" s="17"/>
      <c r="CK255" s="3" t="s">
        <v>165</v>
      </c>
      <c r="CV255" s="346">
        <f t="shared" si="154"/>
        <v>0</v>
      </c>
    </row>
    <row r="256" spans="1:100" s="1" customFormat="1" ht="65.099999999999994" customHeight="1" x14ac:dyDescent="0.25">
      <c r="A256" s="356" t="s">
        <v>79</v>
      </c>
      <c r="B256" s="356" t="s">
        <v>80</v>
      </c>
      <c r="C256" s="356" t="s">
        <v>81</v>
      </c>
      <c r="D256" s="356" t="s">
        <v>82</v>
      </c>
      <c r="E256" s="356" t="s">
        <v>83</v>
      </c>
      <c r="F256" s="356" t="s">
        <v>84</v>
      </c>
      <c r="G256" s="356" t="s">
        <v>85</v>
      </c>
      <c r="H256" s="356" t="s">
        <v>86</v>
      </c>
      <c r="I256" s="356" t="s">
        <v>87</v>
      </c>
      <c r="J256" s="356" t="s">
        <v>152</v>
      </c>
      <c r="K256" s="357" t="s">
        <v>1749</v>
      </c>
      <c r="L256" s="357" t="s">
        <v>1750</v>
      </c>
      <c r="M256" s="357" t="s">
        <v>195</v>
      </c>
      <c r="N256" s="367" t="s">
        <v>91</v>
      </c>
      <c r="O256" s="367" t="s">
        <v>154</v>
      </c>
      <c r="P256" s="930">
        <v>39542136.277533107</v>
      </c>
      <c r="Q256" s="357" t="s">
        <v>1752</v>
      </c>
      <c r="R256" s="357" t="s">
        <v>156</v>
      </c>
      <c r="S256" s="357">
        <v>7</v>
      </c>
      <c r="T256" s="369" t="s">
        <v>196</v>
      </c>
      <c r="U256" s="357" t="s">
        <v>158</v>
      </c>
      <c r="V256" s="370" t="s">
        <v>98</v>
      </c>
      <c r="W256" s="497" t="s">
        <v>197</v>
      </c>
      <c r="X256" s="432">
        <v>0</v>
      </c>
      <c r="Y256" s="432">
        <f>1/7</f>
        <v>0.14285714285714285</v>
      </c>
      <c r="Z256" s="432">
        <f>3/7</f>
        <v>0.42857142857142855</v>
      </c>
      <c r="AA256" s="444">
        <f>3/7</f>
        <v>0.42857142857142855</v>
      </c>
      <c r="AB256" s="814">
        <v>7.69</v>
      </c>
      <c r="AC256" s="814">
        <v>7.69</v>
      </c>
      <c r="AD256" s="815">
        <v>0.37692300000000001</v>
      </c>
      <c r="AE256" s="413">
        <v>0.37727272727272726</v>
      </c>
      <c r="AF256" s="816">
        <f t="shared" si="161"/>
        <v>0</v>
      </c>
      <c r="AG256" s="817" t="s">
        <v>146</v>
      </c>
      <c r="AH256" s="432">
        <v>0</v>
      </c>
      <c r="AI256" s="831" t="s">
        <v>1756</v>
      </c>
      <c r="AJ256" s="835" t="s">
        <v>1804</v>
      </c>
      <c r="AK256" s="817"/>
      <c r="AL256" s="816">
        <f t="shared" si="141"/>
        <v>0</v>
      </c>
      <c r="AM256" s="825" t="s">
        <v>121</v>
      </c>
      <c r="AN256" s="817">
        <f t="shared" si="142"/>
        <v>0</v>
      </c>
      <c r="AO256" s="817">
        <f t="shared" si="143"/>
        <v>0</v>
      </c>
      <c r="AP256" s="817">
        <f t="shared" si="144"/>
        <v>0</v>
      </c>
      <c r="AQ256" s="817"/>
      <c r="AR256" s="816">
        <f t="shared" si="162"/>
        <v>0.14285714285714285</v>
      </c>
      <c r="AS256" s="817" t="s">
        <v>100</v>
      </c>
      <c r="AT256" s="432">
        <f>1/1</f>
        <v>1</v>
      </c>
      <c r="AU256" s="837" t="s">
        <v>1822</v>
      </c>
      <c r="AV256" s="817"/>
      <c r="AW256" s="821" t="str">
        <f t="shared" si="145"/>
        <v>ALTO</v>
      </c>
      <c r="AX256" s="822">
        <f t="shared" si="146"/>
        <v>0.14285714285714285</v>
      </c>
      <c r="AY256" s="823" t="s">
        <v>1468</v>
      </c>
      <c r="AZ256" s="316">
        <f t="shared" si="147"/>
        <v>1.0985714285714285</v>
      </c>
      <c r="BA256" s="316">
        <f t="shared" si="148"/>
        <v>1.0985714285714285</v>
      </c>
      <c r="BB256" s="316">
        <f t="shared" si="149"/>
        <v>5.3846142857142856E-2</v>
      </c>
      <c r="BC256" s="15"/>
      <c r="BD256" s="822">
        <f t="shared" si="150"/>
        <v>0.42857142857142855</v>
      </c>
      <c r="BE256" s="817" t="s">
        <v>146</v>
      </c>
      <c r="BF256" s="432">
        <v>1</v>
      </c>
      <c r="BG256" s="825" t="s">
        <v>1823</v>
      </c>
      <c r="BH256" s="835"/>
      <c r="BI256" s="317" t="str">
        <f t="shared" si="127"/>
        <v>ALTO</v>
      </c>
      <c r="BJ256" s="827">
        <f t="shared" si="151"/>
        <v>0.42857142857142855</v>
      </c>
      <c r="BK256" s="813" t="s">
        <v>645</v>
      </c>
      <c r="BL256" s="828">
        <f t="shared" si="128"/>
        <v>5.5731005015790445E-2</v>
      </c>
      <c r="BM256" s="828">
        <f t="shared" si="129"/>
        <v>5.5731005015790445E-2</v>
      </c>
      <c r="BN256" s="828">
        <f t="shared" si="130"/>
        <v>1.1370264711132738</v>
      </c>
      <c r="BO256" s="317"/>
      <c r="BP256" s="853">
        <f t="shared" si="155"/>
        <v>0.42857142857142855</v>
      </c>
      <c r="BQ256" s="854" t="s">
        <v>105</v>
      </c>
      <c r="BR256" s="901">
        <v>1</v>
      </c>
      <c r="BS256" s="902" t="s">
        <v>1824</v>
      </c>
      <c r="BT256" s="902"/>
      <c r="BU256" s="905" t="str">
        <f t="shared" si="152"/>
        <v>ALTO</v>
      </c>
      <c r="BV256" s="875">
        <f t="shared" si="158"/>
        <v>0.42857142857142855</v>
      </c>
      <c r="BW256" s="859" t="s">
        <v>1825</v>
      </c>
      <c r="BX256" s="857">
        <f t="shared" si="131"/>
        <v>3.2957142857142858</v>
      </c>
      <c r="BY256" s="857">
        <f t="shared" si="132"/>
        <v>3.2957142857142858</v>
      </c>
      <c r="BZ256" s="857">
        <f t="shared" si="133"/>
        <v>0.16153842857142856</v>
      </c>
      <c r="CA256" s="857">
        <f t="shared" si="134"/>
        <v>0.16168831168831169</v>
      </c>
      <c r="CB256" s="16">
        <f t="shared" si="135"/>
        <v>0.8571428571428571</v>
      </c>
      <c r="CC256" s="16">
        <f t="shared" si="136"/>
        <v>0.14285714285714285</v>
      </c>
      <c r="CD256" s="16">
        <f t="shared" ref="CD256:CD280" si="163">SUM(X256+Y256+Z256+AA256)</f>
        <v>1</v>
      </c>
      <c r="CE256" s="16">
        <f t="shared" ref="CE256:CE280" si="164">SUM(AL256+AX256+BJ256+BV256)</f>
        <v>1</v>
      </c>
      <c r="CF256" s="16" t="e">
        <f>SUM(#REF!/(CC256+CB256))</f>
        <v>#REF!</v>
      </c>
      <c r="CG256" s="17"/>
      <c r="CH256" s="17"/>
      <c r="CI256" s="17"/>
      <c r="CJ256" s="17"/>
      <c r="CK256" s="3" t="s">
        <v>165</v>
      </c>
      <c r="CV256" s="346">
        <f t="shared" si="154"/>
        <v>1</v>
      </c>
    </row>
    <row r="257" spans="1:100" s="1" customFormat="1" ht="65.099999999999994" customHeight="1" x14ac:dyDescent="0.25">
      <c r="A257" s="356" t="s">
        <v>79</v>
      </c>
      <c r="B257" s="356" t="s">
        <v>80</v>
      </c>
      <c r="C257" s="356" t="s">
        <v>81</v>
      </c>
      <c r="D257" s="356" t="s">
        <v>82</v>
      </c>
      <c r="E257" s="356" t="s">
        <v>83</v>
      </c>
      <c r="F257" s="356" t="s">
        <v>84</v>
      </c>
      <c r="G257" s="356" t="s">
        <v>85</v>
      </c>
      <c r="H257" s="356" t="s">
        <v>86</v>
      </c>
      <c r="I257" s="356" t="s">
        <v>87</v>
      </c>
      <c r="J257" s="356" t="s">
        <v>152</v>
      </c>
      <c r="K257" s="357" t="s">
        <v>1749</v>
      </c>
      <c r="L257" s="357" t="s">
        <v>1750</v>
      </c>
      <c r="M257" s="357" t="s">
        <v>201</v>
      </c>
      <c r="N257" s="367" t="s">
        <v>91</v>
      </c>
      <c r="O257" s="367" t="s">
        <v>202</v>
      </c>
      <c r="P257" s="930">
        <v>39542136.277533107</v>
      </c>
      <c r="Q257" s="357" t="s">
        <v>1752</v>
      </c>
      <c r="R257" s="357" t="s">
        <v>156</v>
      </c>
      <c r="S257" s="378">
        <v>1</v>
      </c>
      <c r="T257" s="369" t="s">
        <v>203</v>
      </c>
      <c r="U257" s="357" t="s">
        <v>204</v>
      </c>
      <c r="V257" s="357" t="s">
        <v>98</v>
      </c>
      <c r="W257" s="497" t="s">
        <v>205</v>
      </c>
      <c r="X257" s="432">
        <v>0</v>
      </c>
      <c r="Y257" s="432">
        <v>0</v>
      </c>
      <c r="Z257" s="432">
        <v>0</v>
      </c>
      <c r="AA257" s="444">
        <v>1</v>
      </c>
      <c r="AB257" s="814">
        <v>7.69</v>
      </c>
      <c r="AC257" s="814">
        <v>7.69</v>
      </c>
      <c r="AD257" s="815">
        <v>0.37692300000000001</v>
      </c>
      <c r="AE257" s="413">
        <v>0.37727272727272726</v>
      </c>
      <c r="AF257" s="816">
        <f t="shared" si="161"/>
        <v>0</v>
      </c>
      <c r="AG257" s="817" t="s">
        <v>146</v>
      </c>
      <c r="AH257" s="432">
        <v>0</v>
      </c>
      <c r="AI257" s="831" t="s">
        <v>1756</v>
      </c>
      <c r="AJ257" s="835" t="s">
        <v>1804</v>
      </c>
      <c r="AK257" s="817"/>
      <c r="AL257" s="816">
        <f t="shared" si="141"/>
        <v>0</v>
      </c>
      <c r="AM257" s="825" t="s">
        <v>121</v>
      </c>
      <c r="AN257" s="817">
        <f t="shared" si="142"/>
        <v>0</v>
      </c>
      <c r="AO257" s="817">
        <f t="shared" si="143"/>
        <v>0</v>
      </c>
      <c r="AP257" s="817">
        <f t="shared" si="144"/>
        <v>0</v>
      </c>
      <c r="AQ257" s="817"/>
      <c r="AR257" s="816">
        <f t="shared" si="162"/>
        <v>0</v>
      </c>
      <c r="AS257" s="817" t="s">
        <v>146</v>
      </c>
      <c r="AT257" s="432">
        <v>0</v>
      </c>
      <c r="AU257" s="831" t="s">
        <v>1756</v>
      </c>
      <c r="AV257" s="835" t="s">
        <v>1804</v>
      </c>
      <c r="AW257" s="821"/>
      <c r="AX257" s="822">
        <f t="shared" si="146"/>
        <v>0</v>
      </c>
      <c r="AY257" s="823" t="s">
        <v>121</v>
      </c>
      <c r="AZ257" s="316">
        <f t="shared" si="147"/>
        <v>0</v>
      </c>
      <c r="BA257" s="316">
        <f t="shared" si="148"/>
        <v>0</v>
      </c>
      <c r="BB257" s="316">
        <f t="shared" si="149"/>
        <v>0</v>
      </c>
      <c r="BC257" s="15"/>
      <c r="BD257" s="822">
        <f t="shared" si="150"/>
        <v>0</v>
      </c>
      <c r="BE257" s="817" t="s">
        <v>146</v>
      </c>
      <c r="BF257" s="432"/>
      <c r="BG257" s="831" t="s">
        <v>1756</v>
      </c>
      <c r="BH257" s="835" t="s">
        <v>1826</v>
      </c>
      <c r="BI257" s="317" t="str">
        <f t="shared" si="127"/>
        <v>BAJO</v>
      </c>
      <c r="BJ257" s="827">
        <f t="shared" si="151"/>
        <v>0</v>
      </c>
      <c r="BK257" s="317" t="s">
        <v>149</v>
      </c>
      <c r="BL257" s="828">
        <f t="shared" si="128"/>
        <v>0</v>
      </c>
      <c r="BM257" s="828">
        <f t="shared" si="129"/>
        <v>0</v>
      </c>
      <c r="BN257" s="828">
        <f t="shared" si="130"/>
        <v>0</v>
      </c>
      <c r="BO257" s="317"/>
      <c r="BP257" s="853">
        <f t="shared" si="155"/>
        <v>1</v>
      </c>
      <c r="BQ257" s="854" t="s">
        <v>105</v>
      </c>
      <c r="BR257" s="901">
        <v>1</v>
      </c>
      <c r="BS257" s="902" t="s">
        <v>1827</v>
      </c>
      <c r="BT257" s="902"/>
      <c r="BU257" s="905" t="str">
        <f t="shared" si="152"/>
        <v>ALTO</v>
      </c>
      <c r="BV257" s="875">
        <f t="shared" si="158"/>
        <v>1</v>
      </c>
      <c r="BW257" s="859" t="s">
        <v>877</v>
      </c>
      <c r="BX257" s="857">
        <f t="shared" si="131"/>
        <v>7.69</v>
      </c>
      <c r="BY257" s="857">
        <f t="shared" si="132"/>
        <v>7.69</v>
      </c>
      <c r="BZ257" s="857">
        <f t="shared" si="133"/>
        <v>0.37692300000000001</v>
      </c>
      <c r="CA257" s="857">
        <f t="shared" si="134"/>
        <v>0.37727272727272726</v>
      </c>
      <c r="CB257" s="16">
        <f t="shared" si="135"/>
        <v>1</v>
      </c>
      <c r="CC257" s="16">
        <f t="shared" si="136"/>
        <v>0</v>
      </c>
      <c r="CD257" s="16">
        <f t="shared" si="163"/>
        <v>1</v>
      </c>
      <c r="CE257" s="16">
        <f t="shared" si="164"/>
        <v>1</v>
      </c>
      <c r="CF257" s="16" t="e">
        <f>SUM(#REF!/(CC257+CB257))</f>
        <v>#REF!</v>
      </c>
      <c r="CG257" s="17"/>
      <c r="CH257" s="17"/>
      <c r="CI257" s="17"/>
      <c r="CJ257" s="17"/>
      <c r="CK257" s="3" t="s">
        <v>165</v>
      </c>
      <c r="CV257" s="346">
        <f t="shared" si="154"/>
        <v>1</v>
      </c>
    </row>
    <row r="258" spans="1:100" s="1" customFormat="1" ht="65.099999999999994" customHeight="1" x14ac:dyDescent="0.25">
      <c r="A258" s="354" t="s">
        <v>79</v>
      </c>
      <c r="B258" s="354" t="s">
        <v>80</v>
      </c>
      <c r="C258" s="354" t="s">
        <v>81</v>
      </c>
      <c r="D258" s="354" t="s">
        <v>82</v>
      </c>
      <c r="E258" s="354" t="s">
        <v>83</v>
      </c>
      <c r="F258" s="354" t="s">
        <v>84</v>
      </c>
      <c r="G258" s="354" t="s">
        <v>85</v>
      </c>
      <c r="H258" s="354" t="s">
        <v>86</v>
      </c>
      <c r="I258" s="354" t="s">
        <v>87</v>
      </c>
      <c r="J258" s="354" t="s">
        <v>152</v>
      </c>
      <c r="K258" s="348" t="s">
        <v>1828</v>
      </c>
      <c r="L258" s="348" t="s">
        <v>89</v>
      </c>
      <c r="M258" s="686" t="s">
        <v>1829</v>
      </c>
      <c r="N258" s="361" t="s">
        <v>541</v>
      </c>
      <c r="O258" s="361" t="s">
        <v>1830</v>
      </c>
      <c r="P258" s="922">
        <v>39542136.277533107</v>
      </c>
      <c r="Q258" s="364" t="s">
        <v>94</v>
      </c>
      <c r="R258" s="364" t="s">
        <v>213</v>
      </c>
      <c r="S258" s="385">
        <v>1</v>
      </c>
      <c r="T258" s="384" t="s">
        <v>1831</v>
      </c>
      <c r="U258" s="384" t="s">
        <v>1832</v>
      </c>
      <c r="V258" s="348" t="s">
        <v>98</v>
      </c>
      <c r="W258" s="510" t="s">
        <v>1833</v>
      </c>
      <c r="X258" s="429">
        <v>0</v>
      </c>
      <c r="Y258" s="430">
        <v>1</v>
      </c>
      <c r="Z258" s="430">
        <v>0</v>
      </c>
      <c r="AA258" s="431">
        <v>0</v>
      </c>
      <c r="AB258" s="525">
        <v>9.1</v>
      </c>
      <c r="AC258" s="413">
        <v>1.2987012987012987</v>
      </c>
      <c r="AD258" s="413">
        <v>0.43939363636363638</v>
      </c>
      <c r="AE258" s="413">
        <v>0.37727272727272726</v>
      </c>
      <c r="AF258" s="692">
        <f t="shared" si="161"/>
        <v>0</v>
      </c>
      <c r="AG258" s="693" t="s">
        <v>146</v>
      </c>
      <c r="AH258" s="698">
        <v>0</v>
      </c>
      <c r="AI258" s="693"/>
      <c r="AJ258" s="693"/>
      <c r="AK258" s="693"/>
      <c r="AL258" s="692">
        <f t="shared" si="141"/>
        <v>0</v>
      </c>
      <c r="AM258" s="697" t="s">
        <v>121</v>
      </c>
      <c r="AN258" s="693">
        <f t="shared" si="142"/>
        <v>0</v>
      </c>
      <c r="AO258" s="693">
        <f t="shared" si="143"/>
        <v>0</v>
      </c>
      <c r="AP258" s="693">
        <f t="shared" si="144"/>
        <v>0</v>
      </c>
      <c r="AQ258" s="693"/>
      <c r="AR258" s="401">
        <f t="shared" si="162"/>
        <v>1</v>
      </c>
      <c r="AS258" s="402" t="s">
        <v>100</v>
      </c>
      <c r="AT258" s="632">
        <v>0</v>
      </c>
      <c r="AU258" s="403"/>
      <c r="AV258" s="402"/>
      <c r="AW258" s="729" t="str">
        <f t="shared" si="145"/>
        <v>BAJO</v>
      </c>
      <c r="AX258" s="397">
        <f t="shared" si="146"/>
        <v>0</v>
      </c>
      <c r="AY258" s="626" t="s">
        <v>522</v>
      </c>
      <c r="AZ258" s="398">
        <f t="shared" si="147"/>
        <v>0</v>
      </c>
      <c r="BA258" s="398">
        <f t="shared" si="148"/>
        <v>0</v>
      </c>
      <c r="BB258" s="398">
        <f t="shared" si="149"/>
        <v>0</v>
      </c>
      <c r="BC258" s="15"/>
      <c r="BD258" s="14">
        <f t="shared" si="150"/>
        <v>0</v>
      </c>
      <c r="BE258" s="677" t="s">
        <v>105</v>
      </c>
      <c r="BF258" s="681">
        <f>5/5</f>
        <v>1</v>
      </c>
      <c r="BG258" s="647" t="s">
        <v>1834</v>
      </c>
      <c r="BH258" s="647" t="s">
        <v>1835</v>
      </c>
      <c r="BI258" s="658" t="str">
        <f t="shared" si="127"/>
        <v>ALTO</v>
      </c>
      <c r="BJ258" s="681">
        <f t="shared" si="151"/>
        <v>0</v>
      </c>
      <c r="BK258" s="658"/>
      <c r="BL258" s="682">
        <f t="shared" si="128"/>
        <v>0</v>
      </c>
      <c r="BM258" s="682">
        <f t="shared" si="129"/>
        <v>0</v>
      </c>
      <c r="BN258" s="682">
        <f t="shared" si="130"/>
        <v>0</v>
      </c>
      <c r="BO258" s="658"/>
      <c r="BP258" s="853">
        <f t="shared" si="155"/>
        <v>0</v>
      </c>
      <c r="BQ258" s="854" t="s">
        <v>105</v>
      </c>
      <c r="BR258" s="871">
        <v>0</v>
      </c>
      <c r="BS258" s="874" t="s">
        <v>1756</v>
      </c>
      <c r="BT258" s="872" t="s">
        <v>1820</v>
      </c>
      <c r="BU258" s="907" t="str">
        <f t="shared" si="152"/>
        <v>BAJO</v>
      </c>
      <c r="BV258" s="875">
        <f t="shared" si="158"/>
        <v>0</v>
      </c>
      <c r="BW258" s="859" t="s">
        <v>1836</v>
      </c>
      <c r="BX258" s="857">
        <f t="shared" si="131"/>
        <v>0</v>
      </c>
      <c r="BY258" s="857">
        <f t="shared" si="132"/>
        <v>0</v>
      </c>
      <c r="BZ258" s="857">
        <f t="shared" si="133"/>
        <v>0</v>
      </c>
      <c r="CA258" s="857">
        <f t="shared" si="134"/>
        <v>0</v>
      </c>
      <c r="CB258" s="16">
        <f t="shared" si="135"/>
        <v>0</v>
      </c>
      <c r="CC258" s="16">
        <f t="shared" si="136"/>
        <v>1</v>
      </c>
      <c r="CD258" s="16">
        <f t="shared" si="163"/>
        <v>1</v>
      </c>
      <c r="CE258" s="16">
        <f t="shared" si="164"/>
        <v>0</v>
      </c>
      <c r="CF258" s="16" t="e">
        <f>SUM(#REF!/(CC258+CB258))</f>
        <v>#REF!</v>
      </c>
      <c r="CG258" s="17"/>
      <c r="CH258" s="17"/>
      <c r="CI258" s="17"/>
      <c r="CJ258" s="17"/>
      <c r="CV258" s="346">
        <f t="shared" si="154"/>
        <v>1</v>
      </c>
    </row>
    <row r="259" spans="1:100" s="1" customFormat="1" ht="105" customHeight="1" x14ac:dyDescent="0.25">
      <c r="A259" s="354" t="s">
        <v>79</v>
      </c>
      <c r="B259" s="354" t="s">
        <v>80</v>
      </c>
      <c r="C259" s="354" t="s">
        <v>81</v>
      </c>
      <c r="D259" s="354" t="s">
        <v>82</v>
      </c>
      <c r="E259" s="354" t="s">
        <v>83</v>
      </c>
      <c r="F259" s="354" t="s">
        <v>84</v>
      </c>
      <c r="G259" s="354" t="s">
        <v>85</v>
      </c>
      <c r="H259" s="354" t="s">
        <v>86</v>
      </c>
      <c r="I259" s="354" t="s">
        <v>87</v>
      </c>
      <c r="J259" s="354" t="s">
        <v>152</v>
      </c>
      <c r="K259" s="348" t="s">
        <v>1828</v>
      </c>
      <c r="L259" s="348" t="s">
        <v>89</v>
      </c>
      <c r="M259" s="686" t="s">
        <v>1837</v>
      </c>
      <c r="N259" s="361" t="s">
        <v>541</v>
      </c>
      <c r="O259" s="361" t="s">
        <v>1830</v>
      </c>
      <c r="P259" s="922">
        <v>39542136.277533107</v>
      </c>
      <c r="Q259" s="364" t="s">
        <v>94</v>
      </c>
      <c r="R259" s="364" t="s">
        <v>213</v>
      </c>
      <c r="S259" s="384">
        <v>2</v>
      </c>
      <c r="T259" s="354" t="s">
        <v>1838</v>
      </c>
      <c r="U259" s="355" t="s">
        <v>1839</v>
      </c>
      <c r="V259" s="348" t="s">
        <v>119</v>
      </c>
      <c r="W259" s="355" t="s">
        <v>1840</v>
      </c>
      <c r="X259" s="429">
        <v>0</v>
      </c>
      <c r="Y259" s="430"/>
      <c r="Z259" s="430">
        <v>0.5</v>
      </c>
      <c r="AA259" s="431">
        <v>0.5</v>
      </c>
      <c r="AB259" s="525">
        <v>9.09</v>
      </c>
      <c r="AC259" s="413">
        <v>1.2987012987012987</v>
      </c>
      <c r="AD259" s="413">
        <v>0.43939363636363638</v>
      </c>
      <c r="AE259" s="413">
        <v>0.37727272727272726</v>
      </c>
      <c r="AF259" s="692">
        <f t="shared" si="161"/>
        <v>0</v>
      </c>
      <c r="AG259" s="693" t="s">
        <v>146</v>
      </c>
      <c r="AH259" s="698">
        <v>0</v>
      </c>
      <c r="AI259" s="693"/>
      <c r="AJ259" s="693"/>
      <c r="AK259" s="693"/>
      <c r="AL259" s="692">
        <f t="shared" si="141"/>
        <v>0</v>
      </c>
      <c r="AM259" s="697" t="s">
        <v>121</v>
      </c>
      <c r="AN259" s="693">
        <f t="shared" si="142"/>
        <v>0</v>
      </c>
      <c r="AO259" s="693">
        <f t="shared" si="143"/>
        <v>0</v>
      </c>
      <c r="AP259" s="693">
        <f t="shared" si="144"/>
        <v>0</v>
      </c>
      <c r="AQ259" s="693"/>
      <c r="AR259" s="401">
        <f t="shared" si="162"/>
        <v>0</v>
      </c>
      <c r="AS259" s="402" t="s">
        <v>100</v>
      </c>
      <c r="AT259" s="632">
        <v>0</v>
      </c>
      <c r="AU259" s="403"/>
      <c r="AV259" s="402"/>
      <c r="AW259" s="729" t="str">
        <f t="shared" si="145"/>
        <v>BAJO</v>
      </c>
      <c r="AX259" s="397">
        <f t="shared" si="146"/>
        <v>0</v>
      </c>
      <c r="AY259" s="626" t="s">
        <v>522</v>
      </c>
      <c r="AZ259" s="398">
        <f t="shared" si="147"/>
        <v>0</v>
      </c>
      <c r="BA259" s="398">
        <f t="shared" si="148"/>
        <v>0</v>
      </c>
      <c r="BB259" s="398">
        <f t="shared" si="149"/>
        <v>0</v>
      </c>
      <c r="BC259" s="15"/>
      <c r="BD259" s="14">
        <f t="shared" si="150"/>
        <v>0.5</v>
      </c>
      <c r="BE259" s="677" t="s">
        <v>100</v>
      </c>
      <c r="BF259" s="681">
        <f>1/1</f>
        <v>1</v>
      </c>
      <c r="BG259" s="647" t="s">
        <v>1841</v>
      </c>
      <c r="BH259" s="647" t="s">
        <v>1759</v>
      </c>
      <c r="BI259" s="658" t="str">
        <f t="shared" si="127"/>
        <v>ALTO</v>
      </c>
      <c r="BJ259" s="681">
        <f t="shared" si="151"/>
        <v>0.5</v>
      </c>
      <c r="BK259" s="647" t="s">
        <v>1842</v>
      </c>
      <c r="BL259" s="682">
        <f t="shared" si="128"/>
        <v>5.5005500550055007E-2</v>
      </c>
      <c r="BM259" s="682">
        <f t="shared" si="129"/>
        <v>0.38500000000000001</v>
      </c>
      <c r="BN259" s="682">
        <f t="shared" si="130"/>
        <v>1.1379318192633237</v>
      </c>
      <c r="BO259" s="658"/>
      <c r="BP259" s="853">
        <f t="shared" si="155"/>
        <v>0.5</v>
      </c>
      <c r="BQ259" s="854" t="s">
        <v>105</v>
      </c>
      <c r="BR259" s="871">
        <f>100/100</f>
        <v>1</v>
      </c>
      <c r="BS259" s="874" t="s">
        <v>1824</v>
      </c>
      <c r="BT259" s="872"/>
      <c r="BU259" s="905" t="str">
        <f t="shared" si="152"/>
        <v>ALTO</v>
      </c>
      <c r="BV259" s="875">
        <f t="shared" si="158"/>
        <v>0.5</v>
      </c>
      <c r="BW259" s="859" t="s">
        <v>1843</v>
      </c>
      <c r="BX259" s="857">
        <f t="shared" si="131"/>
        <v>4.5449999999999999</v>
      </c>
      <c r="BY259" s="857">
        <f t="shared" si="132"/>
        <v>0.64935064935064934</v>
      </c>
      <c r="BZ259" s="857">
        <f t="shared" si="133"/>
        <v>0.21969681818181819</v>
      </c>
      <c r="CA259" s="857">
        <f t="shared" si="134"/>
        <v>0.18863636363636363</v>
      </c>
      <c r="CB259" s="16">
        <f t="shared" si="135"/>
        <v>1</v>
      </c>
      <c r="CC259" s="16">
        <f t="shared" si="136"/>
        <v>0</v>
      </c>
      <c r="CD259" s="16">
        <f t="shared" si="163"/>
        <v>1</v>
      </c>
      <c r="CE259" s="16">
        <f t="shared" si="164"/>
        <v>1</v>
      </c>
      <c r="CF259" s="16" t="e">
        <f>SUM(#REF!/(CC259+CB259))</f>
        <v>#REF!</v>
      </c>
      <c r="CG259" s="17"/>
      <c r="CH259" s="17"/>
      <c r="CI259" s="17"/>
      <c r="CJ259" s="17"/>
      <c r="CV259" s="346">
        <f t="shared" si="154"/>
        <v>1</v>
      </c>
    </row>
    <row r="260" spans="1:100" s="3" customFormat="1" ht="105" customHeight="1" x14ac:dyDescent="0.25">
      <c r="A260" s="354" t="s">
        <v>79</v>
      </c>
      <c r="B260" s="354" t="s">
        <v>80</v>
      </c>
      <c r="C260" s="354" t="s">
        <v>81</v>
      </c>
      <c r="D260" s="354" t="s">
        <v>82</v>
      </c>
      <c r="E260" s="354" t="s">
        <v>83</v>
      </c>
      <c r="F260" s="354" t="s">
        <v>84</v>
      </c>
      <c r="G260" s="354" t="s">
        <v>85</v>
      </c>
      <c r="H260" s="354" t="s">
        <v>86</v>
      </c>
      <c r="I260" s="354" t="s">
        <v>87</v>
      </c>
      <c r="J260" s="354" t="s">
        <v>152</v>
      </c>
      <c r="K260" s="348" t="s">
        <v>1828</v>
      </c>
      <c r="L260" s="348" t="s">
        <v>89</v>
      </c>
      <c r="M260" s="686" t="s">
        <v>1844</v>
      </c>
      <c r="N260" s="361" t="s">
        <v>541</v>
      </c>
      <c r="O260" s="361" t="s">
        <v>1830</v>
      </c>
      <c r="P260" s="922">
        <v>39542136.277533107</v>
      </c>
      <c r="Q260" s="364" t="s">
        <v>94</v>
      </c>
      <c r="R260" s="364" t="s">
        <v>213</v>
      </c>
      <c r="S260" s="384">
        <v>2</v>
      </c>
      <c r="T260" s="354" t="s">
        <v>1845</v>
      </c>
      <c r="U260" s="355" t="s">
        <v>1839</v>
      </c>
      <c r="V260" s="348" t="s">
        <v>119</v>
      </c>
      <c r="W260" s="355" t="s">
        <v>1846</v>
      </c>
      <c r="X260" s="430">
        <v>0</v>
      </c>
      <c r="Y260" s="430">
        <v>0</v>
      </c>
      <c r="Z260" s="430">
        <v>0.5</v>
      </c>
      <c r="AA260" s="431">
        <v>0.5</v>
      </c>
      <c r="AB260" s="525">
        <v>9.09</v>
      </c>
      <c r="AC260" s="413">
        <v>1.2987012987012987</v>
      </c>
      <c r="AD260" s="413">
        <v>0.43939363636363638</v>
      </c>
      <c r="AE260" s="413">
        <v>0.37727272727272726</v>
      </c>
      <c r="AF260" s="692">
        <f t="shared" si="161"/>
        <v>0</v>
      </c>
      <c r="AG260" s="693" t="s">
        <v>146</v>
      </c>
      <c r="AH260" s="698">
        <v>0</v>
      </c>
      <c r="AI260" s="696"/>
      <c r="AJ260" s="696"/>
      <c r="AK260" s="693"/>
      <c r="AL260" s="692">
        <f t="shared" si="141"/>
        <v>0</v>
      </c>
      <c r="AM260" s="697" t="s">
        <v>121</v>
      </c>
      <c r="AN260" s="693">
        <f t="shared" si="142"/>
        <v>0</v>
      </c>
      <c r="AO260" s="693">
        <f t="shared" si="143"/>
        <v>0</v>
      </c>
      <c r="AP260" s="693">
        <f t="shared" si="144"/>
        <v>0</v>
      </c>
      <c r="AQ260" s="696"/>
      <c r="AR260" s="401">
        <f t="shared" si="162"/>
        <v>0</v>
      </c>
      <c r="AS260" s="402" t="s">
        <v>100</v>
      </c>
      <c r="AT260" s="632">
        <v>0</v>
      </c>
      <c r="AU260" s="403"/>
      <c r="AV260" s="404"/>
      <c r="AW260" s="729" t="str">
        <f t="shared" si="145"/>
        <v>BAJO</v>
      </c>
      <c r="AX260" s="397">
        <f t="shared" si="146"/>
        <v>0</v>
      </c>
      <c r="AY260" s="626" t="s">
        <v>522</v>
      </c>
      <c r="AZ260" s="398">
        <f t="shared" si="147"/>
        <v>0</v>
      </c>
      <c r="BA260" s="398">
        <f t="shared" si="148"/>
        <v>0</v>
      </c>
      <c r="BB260" s="398">
        <f t="shared" si="149"/>
        <v>0</v>
      </c>
      <c r="BC260" s="18"/>
      <c r="BD260" s="14">
        <f t="shared" si="150"/>
        <v>0.5</v>
      </c>
      <c r="BE260" s="677" t="s">
        <v>100</v>
      </c>
      <c r="BF260" s="681">
        <f>0/1</f>
        <v>0</v>
      </c>
      <c r="BG260" s="647" t="s">
        <v>1847</v>
      </c>
      <c r="BH260" s="647"/>
      <c r="BI260" s="658" t="str">
        <f t="shared" si="127"/>
        <v>BAJO</v>
      </c>
      <c r="BJ260" s="681">
        <f t="shared" si="151"/>
        <v>0</v>
      </c>
      <c r="BK260" s="647" t="s">
        <v>1842</v>
      </c>
      <c r="BL260" s="682">
        <f t="shared" si="128"/>
        <v>0</v>
      </c>
      <c r="BM260" s="682">
        <f t="shared" si="129"/>
        <v>0</v>
      </c>
      <c r="BN260" s="682">
        <f t="shared" si="130"/>
        <v>0</v>
      </c>
      <c r="BO260" s="754"/>
      <c r="BP260" s="853">
        <f t="shared" si="155"/>
        <v>0.5</v>
      </c>
      <c r="BQ260" s="854" t="s">
        <v>105</v>
      </c>
      <c r="BR260" s="871">
        <f>25/100</f>
        <v>0.25</v>
      </c>
      <c r="BS260" s="859" t="s">
        <v>1827</v>
      </c>
      <c r="BT260" s="872"/>
      <c r="BU260" s="907" t="str">
        <f t="shared" si="152"/>
        <v>BAJO</v>
      </c>
      <c r="BV260" s="875">
        <f t="shared" si="158"/>
        <v>0.125</v>
      </c>
      <c r="BW260" s="859" t="s">
        <v>1848</v>
      </c>
      <c r="BX260" s="857">
        <f t="shared" si="131"/>
        <v>1.13625</v>
      </c>
      <c r="BY260" s="857">
        <f t="shared" si="132"/>
        <v>0.16233766233766234</v>
      </c>
      <c r="BZ260" s="857">
        <f t="shared" si="133"/>
        <v>5.4924204545454547E-2</v>
      </c>
      <c r="CA260" s="857">
        <f t="shared" si="134"/>
        <v>4.7159090909090907E-2</v>
      </c>
      <c r="CB260" s="16">
        <f t="shared" si="135"/>
        <v>1</v>
      </c>
      <c r="CC260" s="16">
        <f t="shared" si="136"/>
        <v>0</v>
      </c>
      <c r="CD260" s="16">
        <f t="shared" si="163"/>
        <v>1</v>
      </c>
      <c r="CE260" s="16">
        <f t="shared" si="164"/>
        <v>0.125</v>
      </c>
      <c r="CF260" s="16" t="e">
        <f>SUM(#REF!/(CC260+CB260))</f>
        <v>#REF!</v>
      </c>
      <c r="CG260" s="19"/>
      <c r="CH260" s="19"/>
      <c r="CI260" s="19"/>
      <c r="CJ260" s="19"/>
      <c r="CV260" s="346">
        <f t="shared" si="154"/>
        <v>1</v>
      </c>
    </row>
    <row r="261" spans="1:100" s="1" customFormat="1" ht="99.75" customHeight="1" x14ac:dyDescent="0.25">
      <c r="A261" s="354" t="s">
        <v>79</v>
      </c>
      <c r="B261" s="354" t="s">
        <v>80</v>
      </c>
      <c r="C261" s="354" t="s">
        <v>81</v>
      </c>
      <c r="D261" s="354" t="s">
        <v>82</v>
      </c>
      <c r="E261" s="354" t="s">
        <v>83</v>
      </c>
      <c r="F261" s="354" t="s">
        <v>84</v>
      </c>
      <c r="G261" s="354" t="s">
        <v>85</v>
      </c>
      <c r="H261" s="354" t="s">
        <v>86</v>
      </c>
      <c r="I261" s="354" t="s">
        <v>87</v>
      </c>
      <c r="J261" s="354" t="s">
        <v>88</v>
      </c>
      <c r="K261" s="348" t="s">
        <v>1828</v>
      </c>
      <c r="L261" s="348" t="s">
        <v>89</v>
      </c>
      <c r="M261" s="686" t="s">
        <v>1849</v>
      </c>
      <c r="N261" s="361" t="s">
        <v>541</v>
      </c>
      <c r="O261" s="361" t="s">
        <v>1830</v>
      </c>
      <c r="P261" s="922">
        <v>39542136.277533107</v>
      </c>
      <c r="Q261" s="364" t="s">
        <v>94</v>
      </c>
      <c r="R261" s="364" t="s">
        <v>213</v>
      </c>
      <c r="S261" s="396">
        <v>1</v>
      </c>
      <c r="T261" s="354" t="s">
        <v>1850</v>
      </c>
      <c r="U261" s="355" t="s">
        <v>1851</v>
      </c>
      <c r="V261" s="348" t="s">
        <v>119</v>
      </c>
      <c r="W261" s="355" t="s">
        <v>1852</v>
      </c>
      <c r="X261" s="430">
        <v>0</v>
      </c>
      <c r="Y261" s="430">
        <v>0</v>
      </c>
      <c r="Z261" s="430">
        <v>1</v>
      </c>
      <c r="AA261" s="431">
        <v>0</v>
      </c>
      <c r="AB261" s="525">
        <v>9.09</v>
      </c>
      <c r="AC261" s="413">
        <v>1.2987012987012987</v>
      </c>
      <c r="AD261" s="413">
        <v>0.43939363636363638</v>
      </c>
      <c r="AE261" s="413">
        <v>0.37727272727272726</v>
      </c>
      <c r="AF261" s="692">
        <f t="shared" si="161"/>
        <v>0</v>
      </c>
      <c r="AG261" s="693" t="s">
        <v>146</v>
      </c>
      <c r="AH261" s="698">
        <v>0</v>
      </c>
      <c r="AI261" s="693"/>
      <c r="AJ261" s="693"/>
      <c r="AK261" s="693"/>
      <c r="AL261" s="692">
        <f t="shared" si="141"/>
        <v>0</v>
      </c>
      <c r="AM261" s="697" t="s">
        <v>121</v>
      </c>
      <c r="AN261" s="693">
        <f t="shared" si="142"/>
        <v>0</v>
      </c>
      <c r="AO261" s="693">
        <f t="shared" si="143"/>
        <v>0</v>
      </c>
      <c r="AP261" s="693">
        <f t="shared" si="144"/>
        <v>0</v>
      </c>
      <c r="AQ261" s="693"/>
      <c r="AR261" s="401">
        <f t="shared" si="162"/>
        <v>0</v>
      </c>
      <c r="AS261" s="402" t="s">
        <v>100</v>
      </c>
      <c r="AT261" s="632">
        <v>0</v>
      </c>
      <c r="AU261" s="402"/>
      <c r="AV261" s="402"/>
      <c r="AW261" s="729" t="str">
        <f t="shared" si="145"/>
        <v>BAJO</v>
      </c>
      <c r="AX261" s="397">
        <f t="shared" si="146"/>
        <v>0</v>
      </c>
      <c r="AY261" s="626" t="s">
        <v>522</v>
      </c>
      <c r="AZ261" s="398">
        <f t="shared" si="147"/>
        <v>0</v>
      </c>
      <c r="BA261" s="398">
        <f t="shared" si="148"/>
        <v>0</v>
      </c>
      <c r="BB261" s="398">
        <f t="shared" si="149"/>
        <v>0</v>
      </c>
      <c r="BC261" s="15"/>
      <c r="BD261" s="14">
        <f t="shared" si="150"/>
        <v>1</v>
      </c>
      <c r="BE261" s="677" t="s">
        <v>105</v>
      </c>
      <c r="BF261" s="681">
        <f>1/1</f>
        <v>1</v>
      </c>
      <c r="BG261" s="647" t="s">
        <v>1853</v>
      </c>
      <c r="BH261" s="647" t="s">
        <v>1854</v>
      </c>
      <c r="BI261" s="658" t="str">
        <f t="shared" si="127"/>
        <v>ALTO</v>
      </c>
      <c r="BJ261" s="681">
        <f t="shared" si="151"/>
        <v>1</v>
      </c>
      <c r="BK261" s="647" t="s">
        <v>1855</v>
      </c>
      <c r="BL261" s="682">
        <f t="shared" si="128"/>
        <v>0.11001100110011001</v>
      </c>
      <c r="BM261" s="682">
        <f t="shared" si="129"/>
        <v>0.77</v>
      </c>
      <c r="BN261" s="682">
        <f t="shared" si="130"/>
        <v>2.2758636385266473</v>
      </c>
      <c r="BO261" s="658"/>
      <c r="BP261" s="853">
        <f t="shared" si="155"/>
        <v>0</v>
      </c>
      <c r="BQ261" s="854" t="s">
        <v>105</v>
      </c>
      <c r="BR261" s="871"/>
      <c r="BS261" s="874"/>
      <c r="BT261" s="872"/>
      <c r="BU261" s="907" t="str">
        <f t="shared" si="152"/>
        <v>BAJO</v>
      </c>
      <c r="BV261" s="875">
        <f t="shared" si="158"/>
        <v>0</v>
      </c>
      <c r="BW261" s="859" t="s">
        <v>1856</v>
      </c>
      <c r="BX261" s="857">
        <f t="shared" si="131"/>
        <v>0</v>
      </c>
      <c r="BY261" s="857">
        <f t="shared" si="132"/>
        <v>0</v>
      </c>
      <c r="BZ261" s="857">
        <f t="shared" si="133"/>
        <v>0</v>
      </c>
      <c r="CA261" s="857">
        <f t="shared" si="134"/>
        <v>0</v>
      </c>
      <c r="CB261" s="16">
        <f t="shared" si="135"/>
        <v>1</v>
      </c>
      <c r="CC261" s="16">
        <f t="shared" si="136"/>
        <v>0</v>
      </c>
      <c r="CD261" s="16">
        <f t="shared" si="163"/>
        <v>1</v>
      </c>
      <c r="CE261" s="16">
        <f t="shared" si="164"/>
        <v>1</v>
      </c>
      <c r="CF261" s="16" t="e">
        <f>SUM(#REF!/(CC261+CB261))</f>
        <v>#REF!</v>
      </c>
      <c r="CG261" s="17"/>
      <c r="CH261" s="17"/>
      <c r="CI261" s="17"/>
      <c r="CJ261" s="17"/>
      <c r="CV261" s="346">
        <f t="shared" si="154"/>
        <v>1</v>
      </c>
    </row>
    <row r="262" spans="1:100" s="1" customFormat="1" ht="65.099999999999994" customHeight="1" x14ac:dyDescent="0.25">
      <c r="A262" s="356" t="s">
        <v>79</v>
      </c>
      <c r="B262" s="356" t="s">
        <v>80</v>
      </c>
      <c r="C262" s="356" t="s">
        <v>81</v>
      </c>
      <c r="D262" s="356" t="s">
        <v>82</v>
      </c>
      <c r="E262" s="356" t="s">
        <v>83</v>
      </c>
      <c r="F262" s="356" t="s">
        <v>84</v>
      </c>
      <c r="G262" s="356" t="s">
        <v>85</v>
      </c>
      <c r="H262" s="356" t="s">
        <v>86</v>
      </c>
      <c r="I262" s="356" t="s">
        <v>87</v>
      </c>
      <c r="J262" s="356" t="s">
        <v>88</v>
      </c>
      <c r="K262" s="357" t="s">
        <v>1828</v>
      </c>
      <c r="L262" s="357" t="s">
        <v>89</v>
      </c>
      <c r="M262" s="357" t="s">
        <v>153</v>
      </c>
      <c r="N262" s="367" t="s">
        <v>91</v>
      </c>
      <c r="O262" s="367" t="s">
        <v>154</v>
      </c>
      <c r="P262" s="930">
        <v>39542136.277533107</v>
      </c>
      <c r="Q262" s="368" t="s">
        <v>94</v>
      </c>
      <c r="R262" s="357" t="s">
        <v>156</v>
      </c>
      <c r="S262" s="357">
        <v>3</v>
      </c>
      <c r="T262" s="369" t="s">
        <v>157</v>
      </c>
      <c r="U262" s="357" t="s">
        <v>158</v>
      </c>
      <c r="V262" s="370" t="s">
        <v>98</v>
      </c>
      <c r="W262" s="497" t="s">
        <v>159</v>
      </c>
      <c r="X262" s="432">
        <v>0</v>
      </c>
      <c r="Y262" s="432">
        <v>0.34</v>
      </c>
      <c r="Z262" s="432">
        <v>0.33</v>
      </c>
      <c r="AA262" s="444">
        <v>0.33</v>
      </c>
      <c r="AB262" s="525">
        <v>9.09</v>
      </c>
      <c r="AC262" s="413">
        <v>1.2987012987012987</v>
      </c>
      <c r="AD262" s="413">
        <v>0.43939363636363638</v>
      </c>
      <c r="AE262" s="413">
        <v>0.37727272727272726</v>
      </c>
      <c r="AF262" s="692">
        <f t="shared" si="161"/>
        <v>0</v>
      </c>
      <c r="AG262" s="693" t="s">
        <v>146</v>
      </c>
      <c r="AH262" s="698">
        <v>0</v>
      </c>
      <c r="AI262" s="693"/>
      <c r="AJ262" s="693"/>
      <c r="AK262" s="693"/>
      <c r="AL262" s="692">
        <f t="shared" si="141"/>
        <v>0</v>
      </c>
      <c r="AM262" s="697" t="s">
        <v>121</v>
      </c>
      <c r="AN262" s="693">
        <f t="shared" si="142"/>
        <v>0</v>
      </c>
      <c r="AO262" s="693">
        <f t="shared" si="143"/>
        <v>0</v>
      </c>
      <c r="AP262" s="693">
        <f t="shared" si="144"/>
        <v>0</v>
      </c>
      <c r="AQ262" s="693"/>
      <c r="AR262" s="401">
        <f t="shared" si="162"/>
        <v>0.34</v>
      </c>
      <c r="AS262" s="402" t="s">
        <v>100</v>
      </c>
      <c r="AT262" s="632">
        <f>1/1</f>
        <v>1</v>
      </c>
      <c r="AU262" s="402"/>
      <c r="AV262" s="402"/>
      <c r="AW262" s="729" t="str">
        <f t="shared" si="145"/>
        <v>ALTO</v>
      </c>
      <c r="AX262" s="397">
        <f t="shared" si="146"/>
        <v>0.34</v>
      </c>
      <c r="AY262" s="626" t="s">
        <v>522</v>
      </c>
      <c r="AZ262" s="398">
        <f t="shared" si="147"/>
        <v>3.0906000000000002</v>
      </c>
      <c r="BA262" s="398">
        <f t="shared" si="148"/>
        <v>0.44155844155844159</v>
      </c>
      <c r="BB262" s="398">
        <f t="shared" si="149"/>
        <v>0.14939383636363637</v>
      </c>
      <c r="BC262" s="15"/>
      <c r="BD262" s="14">
        <f t="shared" si="150"/>
        <v>0.33</v>
      </c>
      <c r="BE262" s="677" t="s">
        <v>100</v>
      </c>
      <c r="BF262" s="681">
        <f>1/1</f>
        <v>1</v>
      </c>
      <c r="BG262" s="775" t="s">
        <v>1857</v>
      </c>
      <c r="BH262" s="658"/>
      <c r="BI262" s="658" t="str">
        <f t="shared" si="127"/>
        <v>ALTO</v>
      </c>
      <c r="BJ262" s="681">
        <f t="shared" si="151"/>
        <v>0.33</v>
      </c>
      <c r="BK262" s="658" t="s">
        <v>1858</v>
      </c>
      <c r="BL262" s="682">
        <f t="shared" si="128"/>
        <v>3.6303630363036306E-2</v>
      </c>
      <c r="BM262" s="682">
        <f t="shared" si="129"/>
        <v>0.25409999999999999</v>
      </c>
      <c r="BN262" s="682">
        <f t="shared" si="130"/>
        <v>0.75103500071379359</v>
      </c>
      <c r="BO262" s="658"/>
      <c r="BP262" s="853">
        <f t="shared" si="155"/>
        <v>0.33</v>
      </c>
      <c r="BQ262" s="854" t="s">
        <v>105</v>
      </c>
      <c r="BR262" s="871">
        <v>1</v>
      </c>
      <c r="BS262" s="874"/>
      <c r="BT262" s="872"/>
      <c r="BU262" s="905" t="str">
        <f t="shared" si="152"/>
        <v>ALTO</v>
      </c>
      <c r="BV262" s="875">
        <f t="shared" si="158"/>
        <v>0.33</v>
      </c>
      <c r="BW262" s="859" t="s">
        <v>336</v>
      </c>
      <c r="BX262" s="857">
        <f t="shared" si="131"/>
        <v>2.9997000000000003</v>
      </c>
      <c r="BY262" s="857">
        <f t="shared" si="132"/>
        <v>0.4285714285714286</v>
      </c>
      <c r="BZ262" s="857">
        <f t="shared" si="133"/>
        <v>0.14499990000000001</v>
      </c>
      <c r="CA262" s="857">
        <f t="shared" si="134"/>
        <v>0.1245</v>
      </c>
      <c r="CB262" s="16">
        <f t="shared" si="135"/>
        <v>0.66</v>
      </c>
      <c r="CC262" s="16">
        <f t="shared" si="136"/>
        <v>0.34</v>
      </c>
      <c r="CD262" s="16">
        <f t="shared" si="163"/>
        <v>1</v>
      </c>
      <c r="CE262" s="16">
        <f t="shared" si="164"/>
        <v>1</v>
      </c>
      <c r="CF262" s="16" t="e">
        <f>SUM(#REF!/(CC262+CB262))</f>
        <v>#REF!</v>
      </c>
      <c r="CG262" s="17"/>
      <c r="CH262" s="17"/>
      <c r="CI262" s="17"/>
      <c r="CJ262" s="17"/>
      <c r="CV262" s="346">
        <f t="shared" si="154"/>
        <v>1</v>
      </c>
    </row>
    <row r="263" spans="1:100" s="486" customFormat="1" ht="99.75" customHeight="1" x14ac:dyDescent="0.25">
      <c r="A263" s="356" t="s">
        <v>79</v>
      </c>
      <c r="B263" s="356" t="s">
        <v>80</v>
      </c>
      <c r="C263" s="356" t="s">
        <v>81</v>
      </c>
      <c r="D263" s="356" t="s">
        <v>82</v>
      </c>
      <c r="E263" s="356" t="s">
        <v>83</v>
      </c>
      <c r="F263" s="356" t="s">
        <v>84</v>
      </c>
      <c r="G263" s="356" t="s">
        <v>85</v>
      </c>
      <c r="H263" s="356" t="s">
        <v>86</v>
      </c>
      <c r="I263" s="356" t="s">
        <v>87</v>
      </c>
      <c r="J263" s="356" t="s">
        <v>88</v>
      </c>
      <c r="K263" s="357" t="s">
        <v>1828</v>
      </c>
      <c r="L263" s="357" t="s">
        <v>89</v>
      </c>
      <c r="M263" s="357" t="s">
        <v>166</v>
      </c>
      <c r="N263" s="367" t="s">
        <v>91</v>
      </c>
      <c r="O263" s="367" t="s">
        <v>154</v>
      </c>
      <c r="P263" s="930">
        <v>39542136.277533107</v>
      </c>
      <c r="Q263" s="368" t="s">
        <v>94</v>
      </c>
      <c r="R263" s="357" t="s">
        <v>156</v>
      </c>
      <c r="S263" s="357">
        <v>3</v>
      </c>
      <c r="T263" s="377" t="s">
        <v>167</v>
      </c>
      <c r="U263" s="357" t="s">
        <v>168</v>
      </c>
      <c r="V263" s="357" t="s">
        <v>98</v>
      </c>
      <c r="W263" s="497" t="s">
        <v>337</v>
      </c>
      <c r="X263" s="432">
        <v>0</v>
      </c>
      <c r="Y263" s="432">
        <v>0.33</v>
      </c>
      <c r="Z263" s="432">
        <v>0.33</v>
      </c>
      <c r="AA263" s="521">
        <v>0.34</v>
      </c>
      <c r="AB263" s="525">
        <v>9.09</v>
      </c>
      <c r="AC263" s="413">
        <v>1.2987012987012987</v>
      </c>
      <c r="AD263" s="413">
        <v>0.43939363636363638</v>
      </c>
      <c r="AE263" s="413">
        <v>0.37727272727272726</v>
      </c>
      <c r="AF263" s="692">
        <f t="shared" si="161"/>
        <v>0</v>
      </c>
      <c r="AG263" s="693" t="s">
        <v>146</v>
      </c>
      <c r="AH263" s="698">
        <v>0</v>
      </c>
      <c r="AI263" s="693"/>
      <c r="AJ263" s="693"/>
      <c r="AK263" s="693"/>
      <c r="AL263" s="692">
        <f t="shared" si="141"/>
        <v>0</v>
      </c>
      <c r="AM263" s="697" t="s">
        <v>121</v>
      </c>
      <c r="AN263" s="693">
        <f t="shared" si="142"/>
        <v>0</v>
      </c>
      <c r="AO263" s="693">
        <f t="shared" si="143"/>
        <v>0</v>
      </c>
      <c r="AP263" s="693">
        <f t="shared" si="144"/>
        <v>0</v>
      </c>
      <c r="AQ263" s="693"/>
      <c r="AR263" s="401">
        <f t="shared" si="162"/>
        <v>0.33</v>
      </c>
      <c r="AS263" s="402" t="s">
        <v>100</v>
      </c>
      <c r="AT263" s="632">
        <f>1/1</f>
        <v>1</v>
      </c>
      <c r="AU263" s="402"/>
      <c r="AV263" s="402"/>
      <c r="AW263" s="729" t="str">
        <f t="shared" si="145"/>
        <v>ALTO</v>
      </c>
      <c r="AX263" s="397">
        <f t="shared" si="146"/>
        <v>0.33</v>
      </c>
      <c r="AY263" s="626" t="s">
        <v>522</v>
      </c>
      <c r="AZ263" s="398">
        <f t="shared" si="147"/>
        <v>2.9997000000000003</v>
      </c>
      <c r="BA263" s="398">
        <f t="shared" si="148"/>
        <v>0.4285714285714286</v>
      </c>
      <c r="BB263" s="398">
        <f t="shared" si="149"/>
        <v>0.14499990000000001</v>
      </c>
      <c r="BC263" s="15"/>
      <c r="BD263" s="14">
        <f t="shared" si="150"/>
        <v>0.33</v>
      </c>
      <c r="BE263" s="677" t="s">
        <v>100</v>
      </c>
      <c r="BF263" s="681">
        <f>0/1</f>
        <v>0</v>
      </c>
      <c r="BG263" s="793" t="s">
        <v>1859</v>
      </c>
      <c r="BH263" s="658"/>
      <c r="BI263" s="658" t="str">
        <f t="shared" si="127"/>
        <v>BAJO</v>
      </c>
      <c r="BJ263" s="681">
        <f t="shared" si="151"/>
        <v>0</v>
      </c>
      <c r="BK263" s="658" t="s">
        <v>974</v>
      </c>
      <c r="BL263" s="682">
        <f t="shared" si="128"/>
        <v>0</v>
      </c>
      <c r="BM263" s="682">
        <f t="shared" si="129"/>
        <v>0</v>
      </c>
      <c r="BN263" s="682">
        <f t="shared" si="130"/>
        <v>0</v>
      </c>
      <c r="BO263" s="658"/>
      <c r="BP263" s="853">
        <f t="shared" si="155"/>
        <v>0.34</v>
      </c>
      <c r="BQ263" s="854" t="s">
        <v>105</v>
      </c>
      <c r="BR263" s="871">
        <v>0</v>
      </c>
      <c r="BS263" s="874"/>
      <c r="BT263" s="872"/>
      <c r="BU263" s="907" t="str">
        <f t="shared" si="152"/>
        <v>BAJO</v>
      </c>
      <c r="BV263" s="875">
        <f t="shared" si="158"/>
        <v>0</v>
      </c>
      <c r="BW263" s="859" t="s">
        <v>1860</v>
      </c>
      <c r="BX263" s="857">
        <f t="shared" si="131"/>
        <v>0</v>
      </c>
      <c r="BY263" s="857">
        <f t="shared" si="132"/>
        <v>0</v>
      </c>
      <c r="BZ263" s="857">
        <f t="shared" si="133"/>
        <v>0</v>
      </c>
      <c r="CA263" s="857">
        <f t="shared" si="134"/>
        <v>0</v>
      </c>
      <c r="CB263" s="16">
        <f t="shared" si="135"/>
        <v>0.67</v>
      </c>
      <c r="CC263" s="16">
        <f t="shared" si="136"/>
        <v>0.33</v>
      </c>
      <c r="CD263" s="16">
        <f t="shared" si="163"/>
        <v>1</v>
      </c>
      <c r="CE263" s="16">
        <f t="shared" si="164"/>
        <v>0.33</v>
      </c>
      <c r="CF263" s="16" t="e">
        <f>SUM(#REF!/(CC263+CB263))</f>
        <v>#REF!</v>
      </c>
      <c r="CG263" s="17"/>
      <c r="CH263" s="17"/>
      <c r="CI263" s="17"/>
      <c r="CJ263" s="17"/>
      <c r="CV263" s="346">
        <f t="shared" si="154"/>
        <v>1</v>
      </c>
    </row>
    <row r="264" spans="1:100" s="486" customFormat="1" ht="105" customHeight="1" x14ac:dyDescent="0.25">
      <c r="A264" s="356" t="s">
        <v>79</v>
      </c>
      <c r="B264" s="356" t="s">
        <v>80</v>
      </c>
      <c r="C264" s="356" t="s">
        <v>81</v>
      </c>
      <c r="D264" s="356" t="s">
        <v>82</v>
      </c>
      <c r="E264" s="356" t="s">
        <v>83</v>
      </c>
      <c r="F264" s="356" t="s">
        <v>84</v>
      </c>
      <c r="G264" s="356" t="s">
        <v>85</v>
      </c>
      <c r="H264" s="356" t="s">
        <v>86</v>
      </c>
      <c r="I264" s="356" t="s">
        <v>87</v>
      </c>
      <c r="J264" s="356" t="s">
        <v>88</v>
      </c>
      <c r="K264" s="357" t="s">
        <v>1828</v>
      </c>
      <c r="L264" s="357" t="s">
        <v>89</v>
      </c>
      <c r="M264" s="357" t="s">
        <v>174</v>
      </c>
      <c r="N264" s="367" t="s">
        <v>91</v>
      </c>
      <c r="O264" s="367" t="s">
        <v>154</v>
      </c>
      <c r="P264" s="930">
        <v>39542136.277533107</v>
      </c>
      <c r="Q264" s="368" t="s">
        <v>94</v>
      </c>
      <c r="R264" s="357" t="s">
        <v>156</v>
      </c>
      <c r="S264" s="357">
        <v>3</v>
      </c>
      <c r="T264" s="371" t="s">
        <v>175</v>
      </c>
      <c r="U264" s="357" t="s">
        <v>176</v>
      </c>
      <c r="V264" s="357" t="s">
        <v>98</v>
      </c>
      <c r="W264" s="497" t="s">
        <v>342</v>
      </c>
      <c r="X264" s="432">
        <v>0</v>
      </c>
      <c r="Y264" s="432">
        <v>0.33</v>
      </c>
      <c r="Z264" s="432">
        <v>0.33</v>
      </c>
      <c r="AA264" s="444">
        <v>0.34</v>
      </c>
      <c r="AB264" s="525">
        <v>9.09</v>
      </c>
      <c r="AC264" s="413">
        <v>1.2987012987012987</v>
      </c>
      <c r="AD264" s="413">
        <v>0.43939363636363638</v>
      </c>
      <c r="AE264" s="413">
        <v>0.37727272727272726</v>
      </c>
      <c r="AF264" s="692">
        <f t="shared" si="161"/>
        <v>0</v>
      </c>
      <c r="AG264" s="693" t="s">
        <v>146</v>
      </c>
      <c r="AH264" s="698">
        <v>0</v>
      </c>
      <c r="AI264" s="693"/>
      <c r="AJ264" s="693"/>
      <c r="AK264" s="693"/>
      <c r="AL264" s="692">
        <f t="shared" si="141"/>
        <v>0</v>
      </c>
      <c r="AM264" s="697" t="s">
        <v>121</v>
      </c>
      <c r="AN264" s="693">
        <f t="shared" si="142"/>
        <v>0</v>
      </c>
      <c r="AO264" s="693">
        <f t="shared" si="143"/>
        <v>0</v>
      </c>
      <c r="AP264" s="693">
        <f t="shared" si="144"/>
        <v>0</v>
      </c>
      <c r="AQ264" s="693"/>
      <c r="AR264" s="401">
        <f t="shared" si="162"/>
        <v>0.33</v>
      </c>
      <c r="AS264" s="402" t="s">
        <v>100</v>
      </c>
      <c r="AT264" s="632">
        <v>0</v>
      </c>
      <c r="AU264" s="402"/>
      <c r="AV264" s="402"/>
      <c r="AW264" s="729" t="str">
        <f t="shared" si="145"/>
        <v>BAJO</v>
      </c>
      <c r="AX264" s="397">
        <f t="shared" si="146"/>
        <v>0</v>
      </c>
      <c r="AY264" s="626" t="s">
        <v>522</v>
      </c>
      <c r="AZ264" s="398">
        <f t="shared" si="147"/>
        <v>0</v>
      </c>
      <c r="BA264" s="398">
        <f t="shared" si="148"/>
        <v>0</v>
      </c>
      <c r="BB264" s="398">
        <f t="shared" si="149"/>
        <v>0</v>
      </c>
      <c r="BC264" s="15"/>
      <c r="BD264" s="14">
        <f t="shared" si="150"/>
        <v>0.33</v>
      </c>
      <c r="BE264" s="677" t="s">
        <v>100</v>
      </c>
      <c r="BF264" s="681">
        <f>1/1</f>
        <v>1</v>
      </c>
      <c r="BG264" s="647" t="s">
        <v>1861</v>
      </c>
      <c r="BH264" s="658"/>
      <c r="BI264" s="658" t="str">
        <f t="shared" si="127"/>
        <v>ALTO</v>
      </c>
      <c r="BJ264" s="681">
        <f t="shared" si="151"/>
        <v>0.33</v>
      </c>
      <c r="BK264" s="647" t="s">
        <v>1862</v>
      </c>
      <c r="BL264" s="682">
        <f t="shared" si="128"/>
        <v>3.6303630363036306E-2</v>
      </c>
      <c r="BM264" s="682">
        <f t="shared" si="129"/>
        <v>0.25409999999999999</v>
      </c>
      <c r="BN264" s="682">
        <f t="shared" si="130"/>
        <v>0.75103500071379359</v>
      </c>
      <c r="BO264" s="658"/>
      <c r="BP264" s="853">
        <f t="shared" si="155"/>
        <v>0.34</v>
      </c>
      <c r="BQ264" s="854" t="s">
        <v>105</v>
      </c>
      <c r="BR264" s="855">
        <v>1</v>
      </c>
      <c r="BS264" s="874"/>
      <c r="BT264" s="872"/>
      <c r="BU264" s="905" t="str">
        <f t="shared" si="152"/>
        <v>ALTO</v>
      </c>
      <c r="BV264" s="875">
        <f t="shared" si="158"/>
        <v>0.34</v>
      </c>
      <c r="BW264" s="859" t="s">
        <v>180</v>
      </c>
      <c r="BX264" s="857">
        <f t="shared" si="131"/>
        <v>3.0906000000000002</v>
      </c>
      <c r="BY264" s="857">
        <f t="shared" si="132"/>
        <v>0.44155844155844159</v>
      </c>
      <c r="BZ264" s="857">
        <f t="shared" si="133"/>
        <v>0.14939383636363637</v>
      </c>
      <c r="CA264" s="857">
        <f t="shared" si="134"/>
        <v>0.12827272727272729</v>
      </c>
      <c r="CB264" s="16">
        <f t="shared" si="135"/>
        <v>0.67</v>
      </c>
      <c r="CC264" s="16">
        <f t="shared" si="136"/>
        <v>0.33</v>
      </c>
      <c r="CD264" s="16">
        <f t="shared" si="163"/>
        <v>1</v>
      </c>
      <c r="CE264" s="16">
        <f t="shared" si="164"/>
        <v>0.67</v>
      </c>
      <c r="CF264" s="16" t="e">
        <f>SUM(#REF!/(CC264+CB264))</f>
        <v>#REF!</v>
      </c>
      <c r="CG264" s="17"/>
      <c r="CH264" s="17"/>
      <c r="CI264" s="17"/>
      <c r="CJ264" s="17"/>
      <c r="CV264" s="346">
        <f t="shared" si="154"/>
        <v>1</v>
      </c>
    </row>
    <row r="265" spans="1:100" s="1" customFormat="1" ht="105" customHeight="1" x14ac:dyDescent="0.25">
      <c r="A265" s="356" t="s">
        <v>79</v>
      </c>
      <c r="B265" s="356" t="s">
        <v>80</v>
      </c>
      <c r="C265" s="356" t="s">
        <v>81</v>
      </c>
      <c r="D265" s="356" t="s">
        <v>82</v>
      </c>
      <c r="E265" s="356" t="s">
        <v>83</v>
      </c>
      <c r="F265" s="356" t="s">
        <v>84</v>
      </c>
      <c r="G265" s="356" t="s">
        <v>85</v>
      </c>
      <c r="H265" s="356" t="s">
        <v>86</v>
      </c>
      <c r="I265" s="356" t="s">
        <v>87</v>
      </c>
      <c r="J265" s="356" t="s">
        <v>88</v>
      </c>
      <c r="K265" s="357" t="s">
        <v>1828</v>
      </c>
      <c r="L265" s="357" t="s">
        <v>89</v>
      </c>
      <c r="M265" s="357" t="s">
        <v>181</v>
      </c>
      <c r="N265" s="367" t="s">
        <v>91</v>
      </c>
      <c r="O265" s="367" t="s">
        <v>154</v>
      </c>
      <c r="P265" s="930">
        <v>39542136.277533107</v>
      </c>
      <c r="Q265" s="368" t="s">
        <v>94</v>
      </c>
      <c r="R265" s="357" t="s">
        <v>156</v>
      </c>
      <c r="S265" s="371">
        <v>1</v>
      </c>
      <c r="T265" s="369" t="s">
        <v>182</v>
      </c>
      <c r="U265" s="357" t="s">
        <v>183</v>
      </c>
      <c r="V265" s="357" t="s">
        <v>98</v>
      </c>
      <c r="W265" s="497" t="s">
        <v>1401</v>
      </c>
      <c r="X265" s="432">
        <v>0</v>
      </c>
      <c r="Y265" s="432">
        <v>0.5</v>
      </c>
      <c r="Z265" s="432">
        <v>0</v>
      </c>
      <c r="AA265" s="444">
        <v>0.5</v>
      </c>
      <c r="AB265" s="525">
        <v>9.09</v>
      </c>
      <c r="AC265" s="413">
        <v>1.2987012987012987</v>
      </c>
      <c r="AD265" s="413">
        <v>0.43939363636363638</v>
      </c>
      <c r="AE265" s="413">
        <v>0.37727272727272726</v>
      </c>
      <c r="AF265" s="692">
        <f t="shared" si="161"/>
        <v>0</v>
      </c>
      <c r="AG265" s="693" t="s">
        <v>146</v>
      </c>
      <c r="AH265" s="698">
        <v>0</v>
      </c>
      <c r="AI265" s="693"/>
      <c r="AJ265" s="693"/>
      <c r="AK265" s="693"/>
      <c r="AL265" s="692">
        <f t="shared" si="141"/>
        <v>0</v>
      </c>
      <c r="AM265" s="697" t="s">
        <v>121</v>
      </c>
      <c r="AN265" s="693">
        <f t="shared" si="142"/>
        <v>0</v>
      </c>
      <c r="AO265" s="693">
        <f t="shared" si="143"/>
        <v>0</v>
      </c>
      <c r="AP265" s="693">
        <f t="shared" si="144"/>
        <v>0</v>
      </c>
      <c r="AQ265" s="693"/>
      <c r="AR265" s="401">
        <f t="shared" si="162"/>
        <v>0.5</v>
      </c>
      <c r="AS265" s="402" t="s">
        <v>100</v>
      </c>
      <c r="AT265" s="632">
        <v>0</v>
      </c>
      <c r="AU265" s="402"/>
      <c r="AV265" s="402"/>
      <c r="AW265" s="729" t="str">
        <f t="shared" si="145"/>
        <v>BAJO</v>
      </c>
      <c r="AX265" s="397">
        <f t="shared" si="146"/>
        <v>0</v>
      </c>
      <c r="AY265" s="626" t="s">
        <v>522</v>
      </c>
      <c r="AZ265" s="398">
        <f t="shared" si="147"/>
        <v>0</v>
      </c>
      <c r="BA265" s="398">
        <f t="shared" si="148"/>
        <v>0</v>
      </c>
      <c r="BB265" s="398">
        <f t="shared" si="149"/>
        <v>0</v>
      </c>
      <c r="BC265" s="15"/>
      <c r="BD265" s="14">
        <f t="shared" si="150"/>
        <v>0</v>
      </c>
      <c r="BE265" s="677" t="s">
        <v>100</v>
      </c>
      <c r="BF265" s="681">
        <f>0/1</f>
        <v>0</v>
      </c>
      <c r="BG265" s="794" t="s">
        <v>1863</v>
      </c>
      <c r="BH265" s="658"/>
      <c r="BI265" s="658" t="str">
        <f t="shared" ref="BI265:BI280" si="165">+IF(AND(BF265&gt;=0%,BF265&lt;=60%),"BAJO",IF(AND(BF265&gt;=61%,BF265&lt;=80%),"MEDIO","ALTO"))</f>
        <v>BAJO</v>
      </c>
      <c r="BJ265" s="681">
        <f t="shared" si="151"/>
        <v>0</v>
      </c>
      <c r="BK265" s="647" t="s">
        <v>1864</v>
      </c>
      <c r="BL265" s="682">
        <f t="shared" ref="BL265:BL280" si="166">BJ265/AB265</f>
        <v>0</v>
      </c>
      <c r="BM265" s="682">
        <f t="shared" ref="BM265:BM280" si="167">BJ265/AC265</f>
        <v>0</v>
      </c>
      <c r="BN265" s="682">
        <f t="shared" ref="BN265:BN280" si="168">BJ265/AD265</f>
        <v>0</v>
      </c>
      <c r="BO265" s="658"/>
      <c r="BP265" s="853">
        <f t="shared" si="155"/>
        <v>0.5</v>
      </c>
      <c r="BQ265" s="854" t="s">
        <v>105</v>
      </c>
      <c r="BR265" s="871">
        <v>1</v>
      </c>
      <c r="BS265" s="874"/>
      <c r="BT265" s="872"/>
      <c r="BU265" s="905" t="str">
        <f t="shared" si="152"/>
        <v>ALTO</v>
      </c>
      <c r="BV265" s="875">
        <f t="shared" si="158"/>
        <v>0.5</v>
      </c>
      <c r="BW265" s="859" t="s">
        <v>531</v>
      </c>
      <c r="BX265" s="857">
        <f t="shared" ref="BX265:BX280" si="169">BV265*AB265</f>
        <v>4.5449999999999999</v>
      </c>
      <c r="BY265" s="857">
        <f t="shared" ref="BY265:BY280" si="170">BV265*AC265</f>
        <v>0.64935064935064934</v>
      </c>
      <c r="BZ265" s="857">
        <f t="shared" ref="BZ265:BZ280" si="171">BV265*AD265</f>
        <v>0.21969681818181819</v>
      </c>
      <c r="CA265" s="857">
        <f t="shared" ref="CA265:CA280" si="172">BV265*AE265</f>
        <v>0.18863636363636363</v>
      </c>
      <c r="CB265" s="16">
        <f t="shared" ref="CB265:CB280" si="173">SUM(BD265+BP265)</f>
        <v>0.5</v>
      </c>
      <c r="CC265" s="16">
        <f t="shared" ref="CC265:CC280" si="174">AF265+AR265</f>
        <v>0.5</v>
      </c>
      <c r="CD265" s="16">
        <f t="shared" si="163"/>
        <v>1</v>
      </c>
      <c r="CE265" s="16">
        <f t="shared" si="164"/>
        <v>0.5</v>
      </c>
      <c r="CF265" s="16" t="e">
        <f>SUM(#REF!/(CC265+CB265))</f>
        <v>#REF!</v>
      </c>
      <c r="CG265" s="17"/>
      <c r="CH265" s="17"/>
      <c r="CI265" s="17"/>
      <c r="CJ265" s="17"/>
      <c r="CV265" s="346">
        <f t="shared" si="154"/>
        <v>1</v>
      </c>
    </row>
    <row r="266" spans="1:100" s="1" customFormat="1" ht="108.75" customHeight="1" x14ac:dyDescent="0.25">
      <c r="A266" s="356" t="s">
        <v>79</v>
      </c>
      <c r="B266" s="356" t="s">
        <v>80</v>
      </c>
      <c r="C266" s="356" t="s">
        <v>81</v>
      </c>
      <c r="D266" s="356" t="s">
        <v>82</v>
      </c>
      <c r="E266" s="356" t="s">
        <v>83</v>
      </c>
      <c r="F266" s="356" t="s">
        <v>84</v>
      </c>
      <c r="G266" s="356" t="s">
        <v>85</v>
      </c>
      <c r="H266" s="356" t="s">
        <v>86</v>
      </c>
      <c r="I266" s="356" t="s">
        <v>87</v>
      </c>
      <c r="J266" s="356" t="s">
        <v>152</v>
      </c>
      <c r="K266" s="357" t="s">
        <v>1828</v>
      </c>
      <c r="L266" s="357" t="s">
        <v>89</v>
      </c>
      <c r="M266" s="368" t="s">
        <v>190</v>
      </c>
      <c r="N266" s="367" t="s">
        <v>91</v>
      </c>
      <c r="O266" s="367" t="s">
        <v>154</v>
      </c>
      <c r="P266" s="930">
        <v>39542136.277533107</v>
      </c>
      <c r="Q266" s="368" t="s">
        <v>94</v>
      </c>
      <c r="R266" s="357" t="s">
        <v>156</v>
      </c>
      <c r="S266" s="511">
        <v>1</v>
      </c>
      <c r="T266" s="475" t="s">
        <v>191</v>
      </c>
      <c r="U266" s="475" t="s">
        <v>158</v>
      </c>
      <c r="V266" s="489" t="s">
        <v>98</v>
      </c>
      <c r="W266" s="496" t="s">
        <v>192</v>
      </c>
      <c r="X266" s="446">
        <v>0</v>
      </c>
      <c r="Y266" s="447">
        <v>0</v>
      </c>
      <c r="Z266" s="447">
        <v>0.34</v>
      </c>
      <c r="AA266" s="517">
        <v>0.66</v>
      </c>
      <c r="AB266" s="525">
        <v>9.09</v>
      </c>
      <c r="AC266" s="413">
        <v>1.2987012987012987</v>
      </c>
      <c r="AD266" s="413">
        <v>0.43939363636363638</v>
      </c>
      <c r="AE266" s="413">
        <v>0.37727272727272726</v>
      </c>
      <c r="AF266" s="692">
        <f t="shared" si="161"/>
        <v>0</v>
      </c>
      <c r="AG266" s="693" t="s">
        <v>146</v>
      </c>
      <c r="AH266" s="698">
        <v>0</v>
      </c>
      <c r="AI266" s="693"/>
      <c r="AJ266" s="693"/>
      <c r="AK266" s="693"/>
      <c r="AL266" s="692">
        <f t="shared" si="141"/>
        <v>0</v>
      </c>
      <c r="AM266" s="697" t="s">
        <v>121</v>
      </c>
      <c r="AN266" s="693">
        <f t="shared" si="142"/>
        <v>0</v>
      </c>
      <c r="AO266" s="693">
        <f t="shared" si="143"/>
        <v>0</v>
      </c>
      <c r="AP266" s="693">
        <f t="shared" si="144"/>
        <v>0</v>
      </c>
      <c r="AQ266" s="693"/>
      <c r="AR266" s="401">
        <f t="shared" si="162"/>
        <v>0</v>
      </c>
      <c r="AS266" s="402" t="s">
        <v>146</v>
      </c>
      <c r="AT266" s="632">
        <v>0</v>
      </c>
      <c r="AU266" s="402"/>
      <c r="AV266" s="402"/>
      <c r="AW266" s="729"/>
      <c r="AX266" s="397">
        <f t="shared" si="146"/>
        <v>0</v>
      </c>
      <c r="AY266" s="626" t="s">
        <v>522</v>
      </c>
      <c r="AZ266" s="398">
        <f t="shared" si="147"/>
        <v>0</v>
      </c>
      <c r="BA266" s="398">
        <f t="shared" si="148"/>
        <v>0</v>
      </c>
      <c r="BB266" s="398">
        <f t="shared" si="149"/>
        <v>0</v>
      </c>
      <c r="BC266" s="15"/>
      <c r="BD266" s="14">
        <f t="shared" si="150"/>
        <v>0.34</v>
      </c>
      <c r="BE266" s="677" t="s">
        <v>100</v>
      </c>
      <c r="BF266" s="681">
        <f>0/1</f>
        <v>0</v>
      </c>
      <c r="BG266" s="793" t="s">
        <v>1865</v>
      </c>
      <c r="BH266" s="658"/>
      <c r="BI266" s="658" t="str">
        <f t="shared" si="165"/>
        <v>BAJO</v>
      </c>
      <c r="BJ266" s="681">
        <f t="shared" si="151"/>
        <v>0</v>
      </c>
      <c r="BK266" s="658" t="s">
        <v>349</v>
      </c>
      <c r="BL266" s="682">
        <f t="shared" si="166"/>
        <v>0</v>
      </c>
      <c r="BM266" s="682">
        <f t="shared" si="167"/>
        <v>0</v>
      </c>
      <c r="BN266" s="682">
        <f t="shared" si="168"/>
        <v>0</v>
      </c>
      <c r="BO266" s="658"/>
      <c r="BP266" s="853">
        <f t="shared" si="155"/>
        <v>0.66</v>
      </c>
      <c r="BQ266" s="854" t="s">
        <v>105</v>
      </c>
      <c r="BR266" s="871">
        <v>1</v>
      </c>
      <c r="BS266" s="874"/>
      <c r="BT266" s="872"/>
      <c r="BU266" s="905" t="str">
        <f t="shared" si="152"/>
        <v>ALTO</v>
      </c>
      <c r="BV266" s="875">
        <f t="shared" si="158"/>
        <v>0.66</v>
      </c>
      <c r="BW266" s="859" t="s">
        <v>1687</v>
      </c>
      <c r="BX266" s="857">
        <f t="shared" si="169"/>
        <v>5.9994000000000005</v>
      </c>
      <c r="BY266" s="857">
        <f t="shared" si="170"/>
        <v>0.85714285714285721</v>
      </c>
      <c r="BZ266" s="857">
        <f t="shared" si="171"/>
        <v>0.28999980000000003</v>
      </c>
      <c r="CA266" s="857">
        <f t="shared" si="172"/>
        <v>0.249</v>
      </c>
      <c r="CB266" s="16">
        <f t="shared" si="173"/>
        <v>1</v>
      </c>
      <c r="CC266" s="16">
        <f t="shared" si="174"/>
        <v>0</v>
      </c>
      <c r="CD266" s="16">
        <f t="shared" si="163"/>
        <v>1</v>
      </c>
      <c r="CE266" s="16">
        <f t="shared" si="164"/>
        <v>0.66</v>
      </c>
      <c r="CF266" s="16" t="e">
        <f>SUM(#REF!/(CC266+CB266))</f>
        <v>#REF!</v>
      </c>
      <c r="CG266" s="17"/>
      <c r="CH266" s="17"/>
      <c r="CI266" s="17"/>
      <c r="CJ266" s="17"/>
      <c r="CV266" s="346">
        <f t="shared" si="154"/>
        <v>1</v>
      </c>
    </row>
    <row r="267" spans="1:100" s="1" customFormat="1" ht="113.25" customHeight="1" x14ac:dyDescent="0.25">
      <c r="A267" s="356" t="s">
        <v>79</v>
      </c>
      <c r="B267" s="356" t="s">
        <v>80</v>
      </c>
      <c r="C267" s="356" t="s">
        <v>81</v>
      </c>
      <c r="D267" s="356" t="s">
        <v>82</v>
      </c>
      <c r="E267" s="356" t="s">
        <v>83</v>
      </c>
      <c r="F267" s="356" t="s">
        <v>84</v>
      </c>
      <c r="G267" s="356" t="s">
        <v>85</v>
      </c>
      <c r="H267" s="356" t="s">
        <v>86</v>
      </c>
      <c r="I267" s="356" t="s">
        <v>87</v>
      </c>
      <c r="J267" s="356" t="s">
        <v>152</v>
      </c>
      <c r="K267" s="357" t="s">
        <v>1828</v>
      </c>
      <c r="L267" s="357" t="s">
        <v>89</v>
      </c>
      <c r="M267" s="357" t="s">
        <v>195</v>
      </c>
      <c r="N267" s="367" t="s">
        <v>91</v>
      </c>
      <c r="O267" s="367" t="s">
        <v>154</v>
      </c>
      <c r="P267" s="930">
        <v>39542136.277533107</v>
      </c>
      <c r="Q267" s="368" t="s">
        <v>94</v>
      </c>
      <c r="R267" s="357" t="s">
        <v>156</v>
      </c>
      <c r="S267" s="357">
        <v>7</v>
      </c>
      <c r="T267" s="369" t="s">
        <v>196</v>
      </c>
      <c r="U267" s="357" t="s">
        <v>158</v>
      </c>
      <c r="V267" s="370" t="s">
        <v>98</v>
      </c>
      <c r="W267" s="497" t="s">
        <v>197</v>
      </c>
      <c r="X267" s="432">
        <v>0</v>
      </c>
      <c r="Y267" s="432">
        <f>1/7</f>
        <v>0.14285714285714285</v>
      </c>
      <c r="Z267" s="432">
        <f>3/7</f>
        <v>0.42857142857142855</v>
      </c>
      <c r="AA267" s="444">
        <f>3/7</f>
        <v>0.42857142857142855</v>
      </c>
      <c r="AB267" s="525">
        <v>9.09</v>
      </c>
      <c r="AC267" s="413">
        <v>1.2987012987012987</v>
      </c>
      <c r="AD267" s="413">
        <v>0.43939363636363638</v>
      </c>
      <c r="AE267" s="413">
        <v>0.37727272727272726</v>
      </c>
      <c r="AF267" s="692">
        <f t="shared" si="161"/>
        <v>0</v>
      </c>
      <c r="AG267" s="693" t="s">
        <v>146</v>
      </c>
      <c r="AH267" s="698">
        <v>0</v>
      </c>
      <c r="AI267" s="693"/>
      <c r="AJ267" s="693"/>
      <c r="AK267" s="693"/>
      <c r="AL267" s="692">
        <f t="shared" si="141"/>
        <v>0</v>
      </c>
      <c r="AM267" s="697" t="s">
        <v>121</v>
      </c>
      <c r="AN267" s="693">
        <f t="shared" si="142"/>
        <v>0</v>
      </c>
      <c r="AO267" s="693">
        <f t="shared" si="143"/>
        <v>0</v>
      </c>
      <c r="AP267" s="693">
        <f t="shared" si="144"/>
        <v>0</v>
      </c>
      <c r="AQ267" s="693"/>
      <c r="AR267" s="401">
        <f t="shared" si="162"/>
        <v>0.14285714285714285</v>
      </c>
      <c r="AS267" s="402" t="s">
        <v>100</v>
      </c>
      <c r="AT267" s="632">
        <v>0</v>
      </c>
      <c r="AU267" s="402"/>
      <c r="AV267" s="402"/>
      <c r="AW267" s="729" t="str">
        <f t="shared" si="145"/>
        <v>BAJO</v>
      </c>
      <c r="AX267" s="397">
        <f t="shared" si="146"/>
        <v>0</v>
      </c>
      <c r="AY267" s="626" t="s">
        <v>522</v>
      </c>
      <c r="AZ267" s="398">
        <f t="shared" si="147"/>
        <v>0</v>
      </c>
      <c r="BA267" s="398">
        <f t="shared" si="148"/>
        <v>0</v>
      </c>
      <c r="BB267" s="398">
        <f t="shared" si="149"/>
        <v>0</v>
      </c>
      <c r="BC267" s="15"/>
      <c r="BD267" s="14">
        <f t="shared" si="150"/>
        <v>0.42857142857142855</v>
      </c>
      <c r="BE267" s="677" t="s">
        <v>100</v>
      </c>
      <c r="BF267" s="681">
        <f>0/1</f>
        <v>0</v>
      </c>
      <c r="BG267" s="775" t="s">
        <v>1866</v>
      </c>
      <c r="BH267" s="658"/>
      <c r="BI267" s="658" t="str">
        <f t="shared" si="165"/>
        <v>BAJO</v>
      </c>
      <c r="BJ267" s="681">
        <f t="shared" si="151"/>
        <v>0</v>
      </c>
      <c r="BK267" s="658" t="s">
        <v>1867</v>
      </c>
      <c r="BL267" s="682">
        <f t="shared" si="166"/>
        <v>0</v>
      </c>
      <c r="BM267" s="682">
        <f t="shared" si="167"/>
        <v>0</v>
      </c>
      <c r="BN267" s="682">
        <f t="shared" si="168"/>
        <v>0</v>
      </c>
      <c r="BO267" s="658"/>
      <c r="BP267" s="853">
        <f t="shared" si="155"/>
        <v>0.42857142857142855</v>
      </c>
      <c r="BQ267" s="854" t="s">
        <v>105</v>
      </c>
      <c r="BR267" s="871">
        <v>0</v>
      </c>
      <c r="BS267" s="874"/>
      <c r="BT267" s="872"/>
      <c r="BU267" s="907" t="str">
        <f t="shared" si="152"/>
        <v>BAJO</v>
      </c>
      <c r="BV267" s="875">
        <f t="shared" si="158"/>
        <v>0</v>
      </c>
      <c r="BW267" s="859" t="s">
        <v>537</v>
      </c>
      <c r="BX267" s="857">
        <f t="shared" si="169"/>
        <v>0</v>
      </c>
      <c r="BY267" s="857">
        <f t="shared" si="170"/>
        <v>0</v>
      </c>
      <c r="BZ267" s="857">
        <f t="shared" si="171"/>
        <v>0</v>
      </c>
      <c r="CA267" s="857">
        <f t="shared" si="172"/>
        <v>0</v>
      </c>
      <c r="CB267" s="16">
        <f t="shared" si="173"/>
        <v>0.8571428571428571</v>
      </c>
      <c r="CC267" s="16">
        <f t="shared" si="174"/>
        <v>0.14285714285714285</v>
      </c>
      <c r="CD267" s="16">
        <f t="shared" si="163"/>
        <v>1</v>
      </c>
      <c r="CE267" s="16">
        <f t="shared" si="164"/>
        <v>0</v>
      </c>
      <c r="CF267" s="16" t="e">
        <f>SUM(#REF!/(CC267+CB267))</f>
        <v>#REF!</v>
      </c>
      <c r="CG267" s="17"/>
      <c r="CH267" s="17"/>
      <c r="CI267" s="17"/>
      <c r="CJ267" s="17"/>
      <c r="CV267" s="346">
        <f t="shared" si="154"/>
        <v>1</v>
      </c>
    </row>
    <row r="268" spans="1:100" s="1" customFormat="1" ht="104.25" customHeight="1" x14ac:dyDescent="0.25">
      <c r="A268" s="356" t="s">
        <v>79</v>
      </c>
      <c r="B268" s="356" t="s">
        <v>80</v>
      </c>
      <c r="C268" s="356" t="s">
        <v>81</v>
      </c>
      <c r="D268" s="356" t="s">
        <v>82</v>
      </c>
      <c r="E268" s="356" t="s">
        <v>83</v>
      </c>
      <c r="F268" s="356" t="s">
        <v>84</v>
      </c>
      <c r="G268" s="356" t="s">
        <v>85</v>
      </c>
      <c r="H268" s="356" t="s">
        <v>86</v>
      </c>
      <c r="I268" s="356" t="s">
        <v>87</v>
      </c>
      <c r="J268" s="356" t="s">
        <v>152</v>
      </c>
      <c r="K268" s="357" t="s">
        <v>1828</v>
      </c>
      <c r="L268" s="357" t="s">
        <v>89</v>
      </c>
      <c r="M268" s="357" t="s">
        <v>201</v>
      </c>
      <c r="N268" s="367" t="s">
        <v>91</v>
      </c>
      <c r="O268" s="367" t="s">
        <v>202</v>
      </c>
      <c r="P268" s="930">
        <v>39542136.277533107</v>
      </c>
      <c r="Q268" s="368" t="s">
        <v>94</v>
      </c>
      <c r="R268" s="357" t="s">
        <v>156</v>
      </c>
      <c r="S268" s="378">
        <v>1</v>
      </c>
      <c r="T268" s="369" t="s">
        <v>201</v>
      </c>
      <c r="U268" s="357" t="s">
        <v>204</v>
      </c>
      <c r="V268" s="357" t="s">
        <v>98</v>
      </c>
      <c r="W268" s="497" t="s">
        <v>205</v>
      </c>
      <c r="X268" s="432">
        <v>0</v>
      </c>
      <c r="Y268" s="432">
        <v>0</v>
      </c>
      <c r="Z268" s="432">
        <v>0</v>
      </c>
      <c r="AA268" s="444">
        <v>1</v>
      </c>
      <c r="AB268" s="525">
        <v>9.09</v>
      </c>
      <c r="AC268" s="413">
        <v>1.2987012987012987</v>
      </c>
      <c r="AD268" s="413">
        <v>0.43939363636363638</v>
      </c>
      <c r="AE268" s="413">
        <v>0.37727272727272726</v>
      </c>
      <c r="AF268" s="692">
        <f t="shared" si="161"/>
        <v>0</v>
      </c>
      <c r="AG268" s="693" t="s">
        <v>146</v>
      </c>
      <c r="AH268" s="698">
        <v>0</v>
      </c>
      <c r="AI268" s="693"/>
      <c r="AJ268" s="693"/>
      <c r="AK268" s="693"/>
      <c r="AL268" s="692">
        <f t="shared" si="141"/>
        <v>0</v>
      </c>
      <c r="AM268" s="697" t="s">
        <v>121</v>
      </c>
      <c r="AN268" s="693">
        <f t="shared" si="142"/>
        <v>0</v>
      </c>
      <c r="AO268" s="693">
        <f t="shared" si="143"/>
        <v>0</v>
      </c>
      <c r="AP268" s="693">
        <f t="shared" si="144"/>
        <v>0</v>
      </c>
      <c r="AQ268" s="693"/>
      <c r="AR268" s="401">
        <f t="shared" si="162"/>
        <v>0</v>
      </c>
      <c r="AS268" s="402" t="s">
        <v>146</v>
      </c>
      <c r="AT268" s="632">
        <v>0</v>
      </c>
      <c r="AU268" s="402"/>
      <c r="AV268" s="402"/>
      <c r="AW268" s="729"/>
      <c r="AX268" s="397">
        <f t="shared" si="146"/>
        <v>0</v>
      </c>
      <c r="AY268" s="626" t="s">
        <v>121</v>
      </c>
      <c r="AZ268" s="398">
        <f t="shared" si="147"/>
        <v>0</v>
      </c>
      <c r="BA268" s="398">
        <f t="shared" si="148"/>
        <v>0</v>
      </c>
      <c r="BB268" s="398">
        <f t="shared" si="149"/>
        <v>0</v>
      </c>
      <c r="BC268" s="15"/>
      <c r="BD268" s="14">
        <f t="shared" si="150"/>
        <v>0</v>
      </c>
      <c r="BE268" s="677" t="s">
        <v>146</v>
      </c>
      <c r="BF268" s="681"/>
      <c r="BG268" s="647" t="s">
        <v>121</v>
      </c>
      <c r="BH268" s="658"/>
      <c r="BI268" s="658" t="str">
        <f t="shared" si="165"/>
        <v>BAJO</v>
      </c>
      <c r="BJ268" s="681">
        <f t="shared" si="151"/>
        <v>0</v>
      </c>
      <c r="BK268" s="658" t="s">
        <v>149</v>
      </c>
      <c r="BL268" s="682">
        <f t="shared" si="166"/>
        <v>0</v>
      </c>
      <c r="BM268" s="682">
        <f t="shared" si="167"/>
        <v>0</v>
      </c>
      <c r="BN268" s="682">
        <f t="shared" si="168"/>
        <v>0</v>
      </c>
      <c r="BO268" s="658"/>
      <c r="BP268" s="853">
        <f t="shared" si="155"/>
        <v>1</v>
      </c>
      <c r="BQ268" s="854" t="s">
        <v>105</v>
      </c>
      <c r="BR268" s="871">
        <v>0</v>
      </c>
      <c r="BS268" s="874"/>
      <c r="BT268" s="872"/>
      <c r="BU268" s="907" t="str">
        <f t="shared" si="152"/>
        <v>BAJO</v>
      </c>
      <c r="BV268" s="875">
        <f t="shared" si="158"/>
        <v>0</v>
      </c>
      <c r="BW268" s="859" t="s">
        <v>993</v>
      </c>
      <c r="BX268" s="857">
        <f t="shared" si="169"/>
        <v>0</v>
      </c>
      <c r="BY268" s="857">
        <f t="shared" si="170"/>
        <v>0</v>
      </c>
      <c r="BZ268" s="857">
        <f t="shared" si="171"/>
        <v>0</v>
      </c>
      <c r="CA268" s="857">
        <f t="shared" si="172"/>
        <v>0</v>
      </c>
      <c r="CB268" s="16">
        <f t="shared" si="173"/>
        <v>1</v>
      </c>
      <c r="CC268" s="16">
        <f t="shared" si="174"/>
        <v>0</v>
      </c>
      <c r="CD268" s="16">
        <f t="shared" si="163"/>
        <v>1</v>
      </c>
      <c r="CE268" s="16">
        <f t="shared" si="164"/>
        <v>0</v>
      </c>
      <c r="CF268" s="16" t="e">
        <f>SUM(#REF!/(CC268+CB268))</f>
        <v>#REF!</v>
      </c>
      <c r="CG268" s="17"/>
      <c r="CH268" s="17"/>
      <c r="CI268" s="487"/>
      <c r="CJ268" s="17"/>
      <c r="CV268" s="346">
        <f t="shared" si="154"/>
        <v>1</v>
      </c>
    </row>
    <row r="269" spans="1:100" ht="144" customHeight="1" x14ac:dyDescent="0.25">
      <c r="A269" s="354" t="s">
        <v>79</v>
      </c>
      <c r="B269" s="354" t="s">
        <v>80</v>
      </c>
      <c r="C269" s="354" t="s">
        <v>81</v>
      </c>
      <c r="D269" s="354" t="s">
        <v>82</v>
      </c>
      <c r="E269" s="354" t="s">
        <v>83</v>
      </c>
      <c r="F269" s="354" t="s">
        <v>84</v>
      </c>
      <c r="G269" s="354" t="s">
        <v>1868</v>
      </c>
      <c r="H269" s="354" t="s">
        <v>86</v>
      </c>
      <c r="I269" s="354" t="s">
        <v>87</v>
      </c>
      <c r="J269" s="354" t="s">
        <v>152</v>
      </c>
      <c r="K269" s="348" t="s">
        <v>1869</v>
      </c>
      <c r="L269" s="348" t="s">
        <v>539</v>
      </c>
      <c r="M269" s="688" t="s">
        <v>1870</v>
      </c>
      <c r="N269" s="361" t="s">
        <v>541</v>
      </c>
      <c r="O269" s="361" t="s">
        <v>202</v>
      </c>
      <c r="P269" s="922">
        <v>39542136.277533107</v>
      </c>
      <c r="Q269" s="393" t="s">
        <v>543</v>
      </c>
      <c r="R269" s="364" t="s">
        <v>213</v>
      </c>
      <c r="S269" s="396">
        <v>1</v>
      </c>
      <c r="T269" s="424" t="s">
        <v>1871</v>
      </c>
      <c r="U269" s="425" t="s">
        <v>1872</v>
      </c>
      <c r="V269" s="420" t="s">
        <v>1873</v>
      </c>
      <c r="W269" s="426" t="s">
        <v>1874</v>
      </c>
      <c r="X269" s="429">
        <v>0</v>
      </c>
      <c r="Y269" s="430">
        <v>0</v>
      </c>
      <c r="Z269" s="430">
        <v>1</v>
      </c>
      <c r="AA269" s="431">
        <v>0</v>
      </c>
      <c r="AB269" s="525">
        <v>8.34</v>
      </c>
      <c r="AC269" s="413">
        <v>0.99009900990099009</v>
      </c>
      <c r="AD269" s="413">
        <v>0.45185183333333329</v>
      </c>
      <c r="AE269" s="413">
        <v>0.37727272727272726</v>
      </c>
      <c r="AF269" s="692">
        <f t="shared" si="161"/>
        <v>0</v>
      </c>
      <c r="AG269" s="693" t="s">
        <v>146</v>
      </c>
      <c r="AH269" s="698">
        <v>0</v>
      </c>
      <c r="AI269" s="693"/>
      <c r="AJ269" s="693"/>
      <c r="AK269" s="693"/>
      <c r="AL269" s="692">
        <f t="shared" si="141"/>
        <v>0</v>
      </c>
      <c r="AM269" s="697" t="s">
        <v>121</v>
      </c>
      <c r="AN269" s="693">
        <f t="shared" si="142"/>
        <v>0</v>
      </c>
      <c r="AO269" s="693">
        <f t="shared" si="143"/>
        <v>0</v>
      </c>
      <c r="AP269" s="693">
        <f t="shared" si="144"/>
        <v>0</v>
      </c>
      <c r="AQ269" s="693"/>
      <c r="AR269" s="401">
        <f t="shared" si="162"/>
        <v>0</v>
      </c>
      <c r="AS269" s="402" t="s">
        <v>146</v>
      </c>
      <c r="AT269" s="405">
        <v>0</v>
      </c>
      <c r="AU269" s="403"/>
      <c r="AV269" s="402"/>
      <c r="AW269" s="729"/>
      <c r="AX269" s="397">
        <f t="shared" si="146"/>
        <v>0</v>
      </c>
      <c r="AY269" s="399" t="s">
        <v>121</v>
      </c>
      <c r="AZ269" s="398">
        <f t="shared" si="147"/>
        <v>0</v>
      </c>
      <c r="BA269" s="398">
        <f t="shared" si="148"/>
        <v>0</v>
      </c>
      <c r="BB269" s="398">
        <f t="shared" si="149"/>
        <v>0</v>
      </c>
      <c r="BC269" s="15"/>
      <c r="BD269" s="14">
        <f t="shared" si="150"/>
        <v>1</v>
      </c>
      <c r="BE269" s="677" t="s">
        <v>100</v>
      </c>
      <c r="BF269" s="681">
        <v>0</v>
      </c>
      <c r="BG269" s="647" t="s">
        <v>1875</v>
      </c>
      <c r="BH269" s="658"/>
      <c r="BI269" s="658" t="str">
        <f t="shared" si="165"/>
        <v>BAJO</v>
      </c>
      <c r="BJ269" s="681">
        <f t="shared" si="151"/>
        <v>0</v>
      </c>
      <c r="BK269" s="647" t="s">
        <v>1876</v>
      </c>
      <c r="BL269" s="682">
        <f t="shared" si="166"/>
        <v>0</v>
      </c>
      <c r="BM269" s="682">
        <f t="shared" si="167"/>
        <v>0</v>
      </c>
      <c r="BN269" s="682">
        <f t="shared" si="168"/>
        <v>0</v>
      </c>
      <c r="BO269" s="658"/>
      <c r="BP269" s="860">
        <v>0</v>
      </c>
      <c r="BQ269" s="854" t="s">
        <v>105</v>
      </c>
      <c r="BR269" s="861">
        <v>1</v>
      </c>
      <c r="BS269" s="903" t="s">
        <v>1877</v>
      </c>
      <c r="BT269" s="857" t="s">
        <v>1756</v>
      </c>
      <c r="BU269" s="905" t="str">
        <f t="shared" si="152"/>
        <v>ALTO</v>
      </c>
      <c r="BV269" s="875">
        <f t="shared" si="158"/>
        <v>0</v>
      </c>
      <c r="BW269" s="859" t="s">
        <v>1878</v>
      </c>
      <c r="BX269" s="857">
        <f t="shared" si="169"/>
        <v>0</v>
      </c>
      <c r="BY269" s="857">
        <f t="shared" si="170"/>
        <v>0</v>
      </c>
      <c r="BZ269" s="857">
        <f t="shared" si="171"/>
        <v>0</v>
      </c>
      <c r="CA269" s="857">
        <f t="shared" si="172"/>
        <v>0</v>
      </c>
      <c r="CB269" s="16">
        <f t="shared" si="173"/>
        <v>1</v>
      </c>
      <c r="CC269" s="16">
        <f t="shared" si="174"/>
        <v>0</v>
      </c>
      <c r="CD269" s="16">
        <f t="shared" si="163"/>
        <v>1</v>
      </c>
      <c r="CE269" s="16">
        <f t="shared" si="164"/>
        <v>0</v>
      </c>
      <c r="CF269" s="16" t="e">
        <f>SUM(#REF!/(CC269+CB269))</f>
        <v>#REF!</v>
      </c>
      <c r="CG269" s="17"/>
      <c r="CH269" s="17"/>
      <c r="CI269" s="17"/>
      <c r="CJ269" s="17"/>
      <c r="CK269" s="1"/>
      <c r="CL269" s="1"/>
      <c r="CM269" s="1"/>
      <c r="CN269" s="1"/>
      <c r="CO269" s="1"/>
      <c r="CP269" s="1"/>
      <c r="CQ269" s="1"/>
      <c r="CR269" s="1"/>
      <c r="CS269" s="1"/>
      <c r="CT269" s="1"/>
      <c r="CU269" s="1"/>
      <c r="CV269" s="346">
        <f t="shared" ref="CV269:CV280" si="175">SUM(X269:AA269)</f>
        <v>1</v>
      </c>
    </row>
    <row r="270" spans="1:100" ht="134.25" customHeight="1" x14ac:dyDescent="0.25">
      <c r="A270" s="354" t="s">
        <v>79</v>
      </c>
      <c r="B270" s="354" t="s">
        <v>80</v>
      </c>
      <c r="C270" s="354" t="s">
        <v>81</v>
      </c>
      <c r="D270" s="354" t="s">
        <v>82</v>
      </c>
      <c r="E270" s="354" t="s">
        <v>83</v>
      </c>
      <c r="F270" s="354" t="s">
        <v>84</v>
      </c>
      <c r="G270" s="354" t="s">
        <v>85</v>
      </c>
      <c r="H270" s="354" t="s">
        <v>86</v>
      </c>
      <c r="I270" s="354" t="s">
        <v>87</v>
      </c>
      <c r="J270" s="354" t="s">
        <v>152</v>
      </c>
      <c r="K270" s="348" t="s">
        <v>1869</v>
      </c>
      <c r="L270" s="348" t="s">
        <v>539</v>
      </c>
      <c r="M270" s="688" t="s">
        <v>1879</v>
      </c>
      <c r="N270" s="361" t="s">
        <v>541</v>
      </c>
      <c r="O270" s="361" t="s">
        <v>202</v>
      </c>
      <c r="P270" s="922">
        <v>39542136.277533107</v>
      </c>
      <c r="Q270" s="393" t="s">
        <v>543</v>
      </c>
      <c r="R270" s="364" t="s">
        <v>213</v>
      </c>
      <c r="S270" s="427">
        <v>1</v>
      </c>
      <c r="T270" s="424" t="s">
        <v>1880</v>
      </c>
      <c r="U270" s="425" t="s">
        <v>1881</v>
      </c>
      <c r="V270" s="420" t="s">
        <v>98</v>
      </c>
      <c r="W270" s="426" t="s">
        <v>1882</v>
      </c>
      <c r="X270" s="429">
        <v>0</v>
      </c>
      <c r="Y270" s="430">
        <v>0.33</v>
      </c>
      <c r="Z270" s="430">
        <v>0.33</v>
      </c>
      <c r="AA270" s="431">
        <v>0.34</v>
      </c>
      <c r="AB270" s="525">
        <v>8.34</v>
      </c>
      <c r="AC270" s="413">
        <v>0.99009900990099009</v>
      </c>
      <c r="AD270" s="413">
        <v>0.45185183333333329</v>
      </c>
      <c r="AE270" s="413">
        <v>0.37727272727272726</v>
      </c>
      <c r="AF270" s="692">
        <f t="shared" si="161"/>
        <v>0</v>
      </c>
      <c r="AG270" s="693" t="s">
        <v>146</v>
      </c>
      <c r="AH270" s="698">
        <v>0</v>
      </c>
      <c r="AI270" s="693"/>
      <c r="AJ270" s="693"/>
      <c r="AK270" s="693"/>
      <c r="AL270" s="692">
        <f t="shared" si="141"/>
        <v>0</v>
      </c>
      <c r="AM270" s="697" t="s">
        <v>121</v>
      </c>
      <c r="AN270" s="693">
        <f t="shared" si="142"/>
        <v>0</v>
      </c>
      <c r="AO270" s="693">
        <f t="shared" si="143"/>
        <v>0</v>
      </c>
      <c r="AP270" s="693">
        <f t="shared" si="144"/>
        <v>0</v>
      </c>
      <c r="AQ270" s="693"/>
      <c r="AR270" s="401">
        <f t="shared" si="162"/>
        <v>0.33</v>
      </c>
      <c r="AS270" s="402" t="s">
        <v>100</v>
      </c>
      <c r="AT270" s="405">
        <v>0</v>
      </c>
      <c r="AU270" s="403"/>
      <c r="AV270" s="402"/>
      <c r="AW270" s="729" t="str">
        <f t="shared" si="145"/>
        <v>BAJO</v>
      </c>
      <c r="AX270" s="397">
        <f t="shared" si="146"/>
        <v>0</v>
      </c>
      <c r="AY270" s="399" t="s">
        <v>1320</v>
      </c>
      <c r="AZ270" s="398">
        <f t="shared" si="147"/>
        <v>0</v>
      </c>
      <c r="BA270" s="398">
        <f t="shared" si="148"/>
        <v>0</v>
      </c>
      <c r="BB270" s="398">
        <f t="shared" si="149"/>
        <v>0</v>
      </c>
      <c r="BC270" s="15"/>
      <c r="BD270" s="14">
        <f t="shared" si="150"/>
        <v>0.33</v>
      </c>
      <c r="BE270" s="677" t="s">
        <v>100</v>
      </c>
      <c r="BF270" s="681">
        <v>1</v>
      </c>
      <c r="BG270" s="647" t="s">
        <v>1883</v>
      </c>
      <c r="BH270" s="647" t="s">
        <v>1884</v>
      </c>
      <c r="BI270" s="658" t="str">
        <f t="shared" si="165"/>
        <v>ALTO</v>
      </c>
      <c r="BJ270" s="681">
        <f t="shared" si="151"/>
        <v>0.33</v>
      </c>
      <c r="BK270" s="658" t="s">
        <v>1885</v>
      </c>
      <c r="BL270" s="682">
        <f t="shared" si="166"/>
        <v>3.9568345323741011E-2</v>
      </c>
      <c r="BM270" s="682">
        <f t="shared" si="167"/>
        <v>0.33330000000000004</v>
      </c>
      <c r="BN270" s="682">
        <f t="shared" si="168"/>
        <v>0.73032789878393034</v>
      </c>
      <c r="BO270" s="658"/>
      <c r="BP270" s="860">
        <v>0.34</v>
      </c>
      <c r="BQ270" s="854" t="s">
        <v>105</v>
      </c>
      <c r="BR270" s="861">
        <f>0/100</f>
        <v>0</v>
      </c>
      <c r="BS270" s="858" t="s">
        <v>1886</v>
      </c>
      <c r="BT270" s="857" t="s">
        <v>1756</v>
      </c>
      <c r="BU270" s="907" t="str">
        <f t="shared" si="152"/>
        <v>BAJO</v>
      </c>
      <c r="BV270" s="875">
        <f t="shared" si="158"/>
        <v>0</v>
      </c>
      <c r="BW270" s="859" t="s">
        <v>1887</v>
      </c>
      <c r="BX270" s="857">
        <f t="shared" si="169"/>
        <v>0</v>
      </c>
      <c r="BY270" s="857">
        <f t="shared" si="170"/>
        <v>0</v>
      </c>
      <c r="BZ270" s="857">
        <f t="shared" si="171"/>
        <v>0</v>
      </c>
      <c r="CA270" s="857">
        <f t="shared" si="172"/>
        <v>0</v>
      </c>
      <c r="CB270" s="16">
        <f t="shared" si="173"/>
        <v>0.67</v>
      </c>
      <c r="CC270" s="16">
        <f t="shared" si="174"/>
        <v>0.33</v>
      </c>
      <c r="CD270" s="16">
        <f t="shared" si="163"/>
        <v>1</v>
      </c>
      <c r="CE270" s="16">
        <f t="shared" si="164"/>
        <v>0.33</v>
      </c>
      <c r="CF270" s="16" t="e">
        <f>SUM(#REF!/(CC270+CB270))</f>
        <v>#REF!</v>
      </c>
      <c r="CG270" s="17"/>
      <c r="CH270" s="17"/>
      <c r="CI270" s="17"/>
      <c r="CJ270" s="17"/>
      <c r="CK270" s="1"/>
      <c r="CL270" s="1"/>
      <c r="CM270" s="1"/>
      <c r="CN270" s="1"/>
      <c r="CO270" s="1"/>
      <c r="CP270" s="1"/>
      <c r="CQ270" s="1"/>
      <c r="CR270" s="1"/>
      <c r="CS270" s="1"/>
      <c r="CT270" s="1"/>
      <c r="CU270" s="1"/>
      <c r="CV270" s="346">
        <f t="shared" si="175"/>
        <v>1</v>
      </c>
    </row>
    <row r="271" spans="1:100" ht="137.25" customHeight="1" x14ac:dyDescent="0.25">
      <c r="A271" s="354" t="s">
        <v>79</v>
      </c>
      <c r="B271" s="354" t="s">
        <v>80</v>
      </c>
      <c r="C271" s="354" t="s">
        <v>81</v>
      </c>
      <c r="D271" s="354" t="s">
        <v>82</v>
      </c>
      <c r="E271" s="354" t="s">
        <v>83</v>
      </c>
      <c r="F271" s="354" t="s">
        <v>84</v>
      </c>
      <c r="G271" s="354" t="s">
        <v>85</v>
      </c>
      <c r="H271" s="354" t="s">
        <v>86</v>
      </c>
      <c r="I271" s="354" t="s">
        <v>87</v>
      </c>
      <c r="J271" s="354" t="s">
        <v>152</v>
      </c>
      <c r="K271" s="348" t="s">
        <v>1869</v>
      </c>
      <c r="L271" s="348" t="s">
        <v>539</v>
      </c>
      <c r="M271" s="688" t="s">
        <v>1888</v>
      </c>
      <c r="N271" s="361" t="s">
        <v>541</v>
      </c>
      <c r="O271" s="361" t="s">
        <v>202</v>
      </c>
      <c r="P271" s="922">
        <v>39542136.277533107</v>
      </c>
      <c r="Q271" s="393" t="s">
        <v>543</v>
      </c>
      <c r="R271" s="364" t="s">
        <v>213</v>
      </c>
      <c r="S271" s="427">
        <v>1</v>
      </c>
      <c r="T271" s="424" t="s">
        <v>1889</v>
      </c>
      <c r="U271" s="425" t="s">
        <v>1890</v>
      </c>
      <c r="V271" s="420" t="s">
        <v>98</v>
      </c>
      <c r="W271" s="425" t="s">
        <v>1891</v>
      </c>
      <c r="X271" s="429">
        <v>0</v>
      </c>
      <c r="Y271" s="430">
        <v>0.33</v>
      </c>
      <c r="Z271" s="430">
        <v>0.33</v>
      </c>
      <c r="AA271" s="431">
        <v>0.34</v>
      </c>
      <c r="AB271" s="525">
        <v>8.34</v>
      </c>
      <c r="AC271" s="413">
        <v>0.99009900990099009</v>
      </c>
      <c r="AD271" s="413">
        <v>0.45185183333333329</v>
      </c>
      <c r="AE271" s="413">
        <v>0.37727272727272726</v>
      </c>
      <c r="AF271" s="692">
        <f t="shared" si="161"/>
        <v>0</v>
      </c>
      <c r="AG271" s="693" t="s">
        <v>146</v>
      </c>
      <c r="AH271" s="698">
        <v>0</v>
      </c>
      <c r="AI271" s="693"/>
      <c r="AJ271" s="693"/>
      <c r="AK271" s="693"/>
      <c r="AL271" s="692">
        <f t="shared" si="141"/>
        <v>0</v>
      </c>
      <c r="AM271" s="697" t="s">
        <v>121</v>
      </c>
      <c r="AN271" s="693">
        <f t="shared" si="142"/>
        <v>0</v>
      </c>
      <c r="AO271" s="693">
        <f t="shared" si="143"/>
        <v>0</v>
      </c>
      <c r="AP271" s="693">
        <f t="shared" si="144"/>
        <v>0</v>
      </c>
      <c r="AQ271" s="693"/>
      <c r="AR271" s="401">
        <f t="shared" si="162"/>
        <v>0.33</v>
      </c>
      <c r="AS271" s="402" t="s">
        <v>100</v>
      </c>
      <c r="AT271" s="405">
        <v>0</v>
      </c>
      <c r="AU271" s="403"/>
      <c r="AV271" s="402"/>
      <c r="AW271" s="729" t="str">
        <f t="shared" si="145"/>
        <v>BAJO</v>
      </c>
      <c r="AX271" s="397">
        <f t="shared" si="146"/>
        <v>0</v>
      </c>
      <c r="AY271" s="399" t="s">
        <v>1320</v>
      </c>
      <c r="AZ271" s="398">
        <f t="shared" si="147"/>
        <v>0</v>
      </c>
      <c r="BA271" s="398">
        <f t="shared" si="148"/>
        <v>0</v>
      </c>
      <c r="BB271" s="398">
        <f t="shared" si="149"/>
        <v>0</v>
      </c>
      <c r="BC271" s="15"/>
      <c r="BD271" s="14">
        <f t="shared" si="150"/>
        <v>0.33</v>
      </c>
      <c r="BE271" s="677" t="s">
        <v>100</v>
      </c>
      <c r="BF271" s="681">
        <v>0</v>
      </c>
      <c r="BG271" s="647"/>
      <c r="BH271" s="658"/>
      <c r="BI271" s="658" t="str">
        <f t="shared" si="165"/>
        <v>BAJO</v>
      </c>
      <c r="BJ271" s="681">
        <f t="shared" si="151"/>
        <v>0</v>
      </c>
      <c r="BK271" s="658" t="s">
        <v>1157</v>
      </c>
      <c r="BL271" s="682">
        <f t="shared" si="166"/>
        <v>0</v>
      </c>
      <c r="BM271" s="682">
        <f t="shared" si="167"/>
        <v>0</v>
      </c>
      <c r="BN271" s="682">
        <f t="shared" si="168"/>
        <v>0</v>
      </c>
      <c r="BO271" s="658"/>
      <c r="BP271" s="860">
        <v>0.34</v>
      </c>
      <c r="BQ271" s="854" t="s">
        <v>105</v>
      </c>
      <c r="BR271" s="861">
        <f>15/100</f>
        <v>0.15</v>
      </c>
      <c r="BS271" s="858" t="s">
        <v>1892</v>
      </c>
      <c r="BT271" s="858" t="s">
        <v>1893</v>
      </c>
      <c r="BU271" s="907" t="str">
        <f t="shared" si="152"/>
        <v>BAJO</v>
      </c>
      <c r="BV271" s="875">
        <f t="shared" si="158"/>
        <v>5.1000000000000004E-2</v>
      </c>
      <c r="BW271" s="859" t="s">
        <v>1894</v>
      </c>
      <c r="BX271" s="857">
        <f t="shared" si="169"/>
        <v>0.42534</v>
      </c>
      <c r="BY271" s="857">
        <f t="shared" si="170"/>
        <v>5.0495049504950498E-2</v>
      </c>
      <c r="BZ271" s="857">
        <f t="shared" si="171"/>
        <v>2.3044443499999998E-2</v>
      </c>
      <c r="CA271" s="857">
        <f t="shared" si="172"/>
        <v>1.9240909090909093E-2</v>
      </c>
      <c r="CB271" s="16">
        <f t="shared" si="173"/>
        <v>0.67</v>
      </c>
      <c r="CC271" s="16">
        <f t="shared" si="174"/>
        <v>0.33</v>
      </c>
      <c r="CD271" s="16">
        <f t="shared" si="163"/>
        <v>1</v>
      </c>
      <c r="CE271" s="16">
        <f t="shared" si="164"/>
        <v>5.1000000000000004E-2</v>
      </c>
      <c r="CF271" s="16" t="e">
        <f>SUM(#REF!/(CC271+CB271))</f>
        <v>#REF!</v>
      </c>
      <c r="CG271" s="17"/>
      <c r="CH271" s="17"/>
      <c r="CI271" s="17"/>
      <c r="CJ271" s="17"/>
      <c r="CK271" s="1"/>
      <c r="CL271" s="1"/>
      <c r="CM271" s="1"/>
      <c r="CN271" s="1"/>
      <c r="CO271" s="1"/>
      <c r="CP271" s="1"/>
      <c r="CQ271" s="1"/>
      <c r="CR271" s="1"/>
      <c r="CS271" s="1"/>
      <c r="CT271" s="1"/>
      <c r="CU271" s="1"/>
      <c r="CV271" s="346">
        <f>SUM(X271:AA271)</f>
        <v>1</v>
      </c>
    </row>
    <row r="272" spans="1:100" ht="149.25" customHeight="1" x14ac:dyDescent="0.25">
      <c r="A272" s="354" t="s">
        <v>79</v>
      </c>
      <c r="B272" s="354" t="s">
        <v>80</v>
      </c>
      <c r="C272" s="354" t="s">
        <v>81</v>
      </c>
      <c r="D272" s="354" t="s">
        <v>82</v>
      </c>
      <c r="E272" s="354" t="s">
        <v>83</v>
      </c>
      <c r="F272" s="354" t="s">
        <v>84</v>
      </c>
      <c r="G272" s="354" t="s">
        <v>85</v>
      </c>
      <c r="H272" s="354" t="s">
        <v>86</v>
      </c>
      <c r="I272" s="354" t="s">
        <v>87</v>
      </c>
      <c r="J272" s="354" t="s">
        <v>152</v>
      </c>
      <c r="K272" s="348" t="s">
        <v>1869</v>
      </c>
      <c r="L272" s="348" t="s">
        <v>539</v>
      </c>
      <c r="M272" s="688" t="s">
        <v>1895</v>
      </c>
      <c r="N272" s="361" t="s">
        <v>541</v>
      </c>
      <c r="O272" s="361" t="s">
        <v>202</v>
      </c>
      <c r="P272" s="922">
        <v>39542136.277533107</v>
      </c>
      <c r="Q272" s="393" t="s">
        <v>543</v>
      </c>
      <c r="R272" s="364" t="s">
        <v>213</v>
      </c>
      <c r="S272" s="427">
        <v>1</v>
      </c>
      <c r="T272" s="424" t="s">
        <v>1896</v>
      </c>
      <c r="U272" s="425" t="s">
        <v>1897</v>
      </c>
      <c r="V272" s="420" t="s">
        <v>98</v>
      </c>
      <c r="W272" s="426" t="s">
        <v>1898</v>
      </c>
      <c r="X272" s="430">
        <v>0</v>
      </c>
      <c r="Y272" s="430">
        <v>0.33</v>
      </c>
      <c r="Z272" s="430">
        <v>0.33</v>
      </c>
      <c r="AA272" s="431">
        <v>0.34</v>
      </c>
      <c r="AB272" s="525">
        <v>8.34</v>
      </c>
      <c r="AC272" s="413">
        <v>0.99009900990099009</v>
      </c>
      <c r="AD272" s="413">
        <v>0.45185183333333329</v>
      </c>
      <c r="AE272" s="413">
        <v>0.37727272727272726</v>
      </c>
      <c r="AF272" s="692">
        <f t="shared" si="161"/>
        <v>0</v>
      </c>
      <c r="AG272" s="693" t="s">
        <v>146</v>
      </c>
      <c r="AH272" s="698">
        <v>0</v>
      </c>
      <c r="AI272" s="696"/>
      <c r="AJ272" s="696"/>
      <c r="AK272" s="693"/>
      <c r="AL272" s="692">
        <f t="shared" si="141"/>
        <v>0</v>
      </c>
      <c r="AM272" s="697" t="s">
        <v>121</v>
      </c>
      <c r="AN272" s="693">
        <f t="shared" si="142"/>
        <v>0</v>
      </c>
      <c r="AO272" s="693">
        <f t="shared" si="143"/>
        <v>0</v>
      </c>
      <c r="AP272" s="693">
        <f t="shared" si="144"/>
        <v>0</v>
      </c>
      <c r="AQ272" s="696"/>
      <c r="AR272" s="401">
        <f t="shared" si="162"/>
        <v>0.33</v>
      </c>
      <c r="AS272" s="402" t="s">
        <v>100</v>
      </c>
      <c r="AT272" s="405">
        <v>0</v>
      </c>
      <c r="AU272" s="403"/>
      <c r="AV272" s="404"/>
      <c r="AW272" s="729" t="str">
        <f t="shared" si="145"/>
        <v>BAJO</v>
      </c>
      <c r="AX272" s="397">
        <f t="shared" si="146"/>
        <v>0</v>
      </c>
      <c r="AY272" s="399" t="s">
        <v>1320</v>
      </c>
      <c r="AZ272" s="398">
        <f t="shared" si="147"/>
        <v>0</v>
      </c>
      <c r="BA272" s="398">
        <f t="shared" si="148"/>
        <v>0</v>
      </c>
      <c r="BB272" s="398">
        <f t="shared" si="149"/>
        <v>0</v>
      </c>
      <c r="BC272" s="18"/>
      <c r="BD272" s="14">
        <f t="shared" si="150"/>
        <v>0.33</v>
      </c>
      <c r="BE272" s="677" t="s">
        <v>100</v>
      </c>
      <c r="BF272" s="681">
        <v>0</v>
      </c>
      <c r="BG272" s="752" t="s">
        <v>1899</v>
      </c>
      <c r="BH272" s="752" t="s">
        <v>1900</v>
      </c>
      <c r="BI272" s="658" t="str">
        <f t="shared" si="165"/>
        <v>BAJO</v>
      </c>
      <c r="BJ272" s="681">
        <f t="shared" si="151"/>
        <v>0</v>
      </c>
      <c r="BK272" s="680" t="s">
        <v>1901</v>
      </c>
      <c r="BL272" s="682">
        <f t="shared" si="166"/>
        <v>0</v>
      </c>
      <c r="BM272" s="682">
        <f t="shared" si="167"/>
        <v>0</v>
      </c>
      <c r="BN272" s="682">
        <f t="shared" si="168"/>
        <v>0</v>
      </c>
      <c r="BO272" s="754"/>
      <c r="BP272" s="860">
        <v>0.34</v>
      </c>
      <c r="BQ272" s="854" t="s">
        <v>105</v>
      </c>
      <c r="BR272" s="861">
        <f>0/100</f>
        <v>0</v>
      </c>
      <c r="BS272" s="903" t="s">
        <v>1902</v>
      </c>
      <c r="BT272" s="904" t="s">
        <v>1903</v>
      </c>
      <c r="BU272" s="907" t="str">
        <f t="shared" si="152"/>
        <v>BAJO</v>
      </c>
      <c r="BV272" s="875">
        <f t="shared" si="158"/>
        <v>0</v>
      </c>
      <c r="BW272" s="859" t="s">
        <v>1904</v>
      </c>
      <c r="BX272" s="857">
        <f t="shared" si="169"/>
        <v>0</v>
      </c>
      <c r="BY272" s="857">
        <f t="shared" si="170"/>
        <v>0</v>
      </c>
      <c r="BZ272" s="857">
        <f t="shared" si="171"/>
        <v>0</v>
      </c>
      <c r="CA272" s="857">
        <f t="shared" si="172"/>
        <v>0</v>
      </c>
      <c r="CB272" s="16">
        <f t="shared" si="173"/>
        <v>0.67</v>
      </c>
      <c r="CC272" s="16">
        <f t="shared" si="174"/>
        <v>0.33</v>
      </c>
      <c r="CD272" s="16">
        <f t="shared" si="163"/>
        <v>1</v>
      </c>
      <c r="CE272" s="16">
        <f t="shared" si="164"/>
        <v>0</v>
      </c>
      <c r="CF272" s="16" t="e">
        <f>SUM(#REF!/(CC272+CB272))</f>
        <v>#REF!</v>
      </c>
      <c r="CG272" s="19"/>
      <c r="CH272" s="19"/>
      <c r="CI272" s="19"/>
      <c r="CJ272" s="19"/>
      <c r="CK272" s="3"/>
      <c r="CL272" s="3"/>
      <c r="CM272" s="3"/>
      <c r="CN272" s="3"/>
      <c r="CO272" s="3"/>
      <c r="CP272" s="3"/>
      <c r="CQ272" s="3"/>
      <c r="CR272" s="3"/>
      <c r="CS272" s="3"/>
      <c r="CT272" s="3"/>
      <c r="CU272" s="3"/>
      <c r="CV272" s="346">
        <f>SUM(X272:AA272)</f>
        <v>1</v>
      </c>
    </row>
    <row r="273" spans="1:100" ht="135.75" customHeight="1" x14ac:dyDescent="0.25">
      <c r="A273" s="354" t="s">
        <v>79</v>
      </c>
      <c r="B273" s="354" t="s">
        <v>80</v>
      </c>
      <c r="C273" s="354" t="s">
        <v>81</v>
      </c>
      <c r="D273" s="354" t="s">
        <v>82</v>
      </c>
      <c r="E273" s="354" t="s">
        <v>83</v>
      </c>
      <c r="F273" s="354" t="s">
        <v>84</v>
      </c>
      <c r="G273" s="354" t="s">
        <v>85</v>
      </c>
      <c r="H273" s="354" t="s">
        <v>86</v>
      </c>
      <c r="I273" s="354" t="s">
        <v>87</v>
      </c>
      <c r="J273" s="354" t="s">
        <v>88</v>
      </c>
      <c r="K273" s="348" t="s">
        <v>1869</v>
      </c>
      <c r="L273" s="348" t="s">
        <v>539</v>
      </c>
      <c r="M273" s="688" t="s">
        <v>1905</v>
      </c>
      <c r="N273" s="361" t="s">
        <v>541</v>
      </c>
      <c r="O273" s="361" t="s">
        <v>202</v>
      </c>
      <c r="P273" s="922">
        <v>39542136.277533107</v>
      </c>
      <c r="Q273" s="393" t="s">
        <v>543</v>
      </c>
      <c r="R273" s="364" t="s">
        <v>213</v>
      </c>
      <c r="S273" s="433">
        <v>2</v>
      </c>
      <c r="T273" s="424" t="s">
        <v>1906</v>
      </c>
      <c r="U273" s="425" t="s">
        <v>1907</v>
      </c>
      <c r="V273" s="420" t="s">
        <v>119</v>
      </c>
      <c r="W273" s="425" t="s">
        <v>1908</v>
      </c>
      <c r="X273" s="430">
        <v>0</v>
      </c>
      <c r="Y273" s="430">
        <v>0</v>
      </c>
      <c r="Z273" s="430">
        <v>0.5</v>
      </c>
      <c r="AA273" s="431">
        <v>0.5</v>
      </c>
      <c r="AB273" s="525">
        <v>8.33</v>
      </c>
      <c r="AC273" s="413">
        <v>0.99009900990099009</v>
      </c>
      <c r="AD273" s="413">
        <v>0.45185183333333329</v>
      </c>
      <c r="AE273" s="413">
        <v>0.37727272727272726</v>
      </c>
      <c r="AF273" s="692">
        <f t="shared" si="161"/>
        <v>0</v>
      </c>
      <c r="AG273" s="693" t="s">
        <v>146</v>
      </c>
      <c r="AH273" s="698">
        <v>0</v>
      </c>
      <c r="AI273" s="693"/>
      <c r="AJ273" s="693"/>
      <c r="AK273" s="693"/>
      <c r="AL273" s="692">
        <f t="shared" si="141"/>
        <v>0</v>
      </c>
      <c r="AM273" s="697" t="s">
        <v>121</v>
      </c>
      <c r="AN273" s="693">
        <f t="shared" si="142"/>
        <v>0</v>
      </c>
      <c r="AO273" s="693">
        <f t="shared" si="143"/>
        <v>0</v>
      </c>
      <c r="AP273" s="693">
        <f t="shared" si="144"/>
        <v>0</v>
      </c>
      <c r="AQ273" s="693"/>
      <c r="AR273" s="401">
        <f t="shared" si="162"/>
        <v>0</v>
      </c>
      <c r="AS273" s="402" t="s">
        <v>146</v>
      </c>
      <c r="AT273" s="405">
        <v>0</v>
      </c>
      <c r="AU273" s="402"/>
      <c r="AV273" s="402"/>
      <c r="AW273" s="729"/>
      <c r="AX273" s="397">
        <f t="shared" si="146"/>
        <v>0</v>
      </c>
      <c r="AY273" s="399" t="s">
        <v>121</v>
      </c>
      <c r="AZ273" s="398">
        <f t="shared" si="147"/>
        <v>0</v>
      </c>
      <c r="BA273" s="398">
        <f t="shared" si="148"/>
        <v>0</v>
      </c>
      <c r="BB273" s="398">
        <f t="shared" si="149"/>
        <v>0</v>
      </c>
      <c r="BC273" s="15"/>
      <c r="BD273" s="14">
        <f t="shared" si="150"/>
        <v>0.5</v>
      </c>
      <c r="BE273" s="677" t="s">
        <v>100</v>
      </c>
      <c r="BF273" s="681">
        <v>0</v>
      </c>
      <c r="BG273" s="658"/>
      <c r="BH273" s="658"/>
      <c r="BI273" s="658" t="str">
        <f t="shared" si="165"/>
        <v>BAJO</v>
      </c>
      <c r="BJ273" s="681">
        <f t="shared" si="151"/>
        <v>0</v>
      </c>
      <c r="BK273" s="658" t="s">
        <v>982</v>
      </c>
      <c r="BL273" s="682">
        <f t="shared" si="166"/>
        <v>0</v>
      </c>
      <c r="BM273" s="682">
        <f t="shared" si="167"/>
        <v>0</v>
      </c>
      <c r="BN273" s="682">
        <f t="shared" si="168"/>
        <v>0</v>
      </c>
      <c r="BO273" s="658"/>
      <c r="BP273" s="860">
        <v>0.5</v>
      </c>
      <c r="BQ273" s="854" t="s">
        <v>105</v>
      </c>
      <c r="BR273" s="861">
        <f>0/100</f>
        <v>0</v>
      </c>
      <c r="BS273" s="904" t="s">
        <v>1909</v>
      </c>
      <c r="BT273" s="904" t="s">
        <v>1910</v>
      </c>
      <c r="BU273" s="907" t="str">
        <f t="shared" si="152"/>
        <v>BAJO</v>
      </c>
      <c r="BV273" s="875">
        <f t="shared" si="158"/>
        <v>0</v>
      </c>
      <c r="BW273" s="859" t="s">
        <v>1911</v>
      </c>
      <c r="BX273" s="857">
        <f t="shared" si="169"/>
        <v>0</v>
      </c>
      <c r="BY273" s="857">
        <f t="shared" si="170"/>
        <v>0</v>
      </c>
      <c r="BZ273" s="857">
        <f t="shared" si="171"/>
        <v>0</v>
      </c>
      <c r="CA273" s="857">
        <f t="shared" si="172"/>
        <v>0</v>
      </c>
      <c r="CB273" s="16">
        <f t="shared" si="173"/>
        <v>1</v>
      </c>
      <c r="CC273" s="16">
        <f t="shared" si="174"/>
        <v>0</v>
      </c>
      <c r="CD273" s="16">
        <f t="shared" si="163"/>
        <v>1</v>
      </c>
      <c r="CE273" s="16">
        <f t="shared" si="164"/>
        <v>0</v>
      </c>
      <c r="CF273" s="16" t="e">
        <f>SUM(#REF!/(CC273+CB273))</f>
        <v>#REF!</v>
      </c>
      <c r="CG273" s="17"/>
      <c r="CH273" s="17"/>
      <c r="CI273" s="17"/>
      <c r="CJ273" s="17"/>
      <c r="CK273" s="1"/>
      <c r="CL273" s="1"/>
      <c r="CM273" s="1"/>
      <c r="CN273" s="1"/>
      <c r="CO273" s="1"/>
      <c r="CP273" s="1"/>
      <c r="CQ273" s="1"/>
      <c r="CR273" s="1"/>
      <c r="CS273" s="1"/>
      <c r="CT273" s="1"/>
      <c r="CU273" s="1"/>
      <c r="CV273" s="346">
        <f>SUM(X273:AA273)</f>
        <v>1</v>
      </c>
    </row>
    <row r="274" spans="1:100" ht="198.75" customHeight="1" x14ac:dyDescent="0.25">
      <c r="A274" s="356" t="s">
        <v>79</v>
      </c>
      <c r="B274" s="356" t="s">
        <v>80</v>
      </c>
      <c r="C274" s="356" t="s">
        <v>81</v>
      </c>
      <c r="D274" s="356" t="s">
        <v>82</v>
      </c>
      <c r="E274" s="356" t="s">
        <v>83</v>
      </c>
      <c r="F274" s="356" t="s">
        <v>84</v>
      </c>
      <c r="G274" s="356" t="s">
        <v>85</v>
      </c>
      <c r="H274" s="356" t="s">
        <v>86</v>
      </c>
      <c r="I274" s="356" t="s">
        <v>87</v>
      </c>
      <c r="J274" s="356" t="s">
        <v>88</v>
      </c>
      <c r="K274" s="357" t="s">
        <v>1869</v>
      </c>
      <c r="L274" s="357" t="s">
        <v>539</v>
      </c>
      <c r="M274" s="357" t="s">
        <v>153</v>
      </c>
      <c r="N274" s="367" t="s">
        <v>91</v>
      </c>
      <c r="O274" s="367" t="s">
        <v>154</v>
      </c>
      <c r="P274" s="930">
        <v>39542136.277533107</v>
      </c>
      <c r="Q274" s="357" t="s">
        <v>543</v>
      </c>
      <c r="R274" s="357" t="s">
        <v>156</v>
      </c>
      <c r="S274" s="357">
        <v>3</v>
      </c>
      <c r="T274" s="369" t="s">
        <v>157</v>
      </c>
      <c r="U274" s="357" t="s">
        <v>158</v>
      </c>
      <c r="V274" s="370" t="s">
        <v>98</v>
      </c>
      <c r="W274" s="497" t="s">
        <v>159</v>
      </c>
      <c r="X274" s="432">
        <v>0</v>
      </c>
      <c r="Y274" s="432">
        <v>0.34</v>
      </c>
      <c r="Z274" s="432">
        <v>0.33</v>
      </c>
      <c r="AA274" s="444">
        <v>0.33</v>
      </c>
      <c r="AB274" s="525">
        <v>8.33</v>
      </c>
      <c r="AC274" s="413">
        <v>0.99009900990099009</v>
      </c>
      <c r="AD274" s="413">
        <v>0.45185183333333329</v>
      </c>
      <c r="AE274" s="413">
        <v>0.37727272727272726</v>
      </c>
      <c r="AF274" s="692">
        <f t="shared" si="161"/>
        <v>0</v>
      </c>
      <c r="AG274" s="693" t="s">
        <v>146</v>
      </c>
      <c r="AH274" s="698">
        <v>0</v>
      </c>
      <c r="AI274" s="693"/>
      <c r="AJ274" s="693"/>
      <c r="AK274" s="693"/>
      <c r="AL274" s="692">
        <f t="shared" si="141"/>
        <v>0</v>
      </c>
      <c r="AM274" s="697" t="s">
        <v>121</v>
      </c>
      <c r="AN274" s="693">
        <f t="shared" si="142"/>
        <v>0</v>
      </c>
      <c r="AO274" s="693">
        <f t="shared" si="143"/>
        <v>0</v>
      </c>
      <c r="AP274" s="693">
        <f t="shared" si="144"/>
        <v>0</v>
      </c>
      <c r="AQ274" s="693"/>
      <c r="AR274" s="401">
        <f t="shared" si="162"/>
        <v>0.34</v>
      </c>
      <c r="AS274" s="402" t="s">
        <v>100</v>
      </c>
      <c r="AT274" s="405">
        <v>0</v>
      </c>
      <c r="AU274" s="402"/>
      <c r="AV274" s="402"/>
      <c r="AW274" s="729" t="str">
        <f t="shared" si="145"/>
        <v>BAJO</v>
      </c>
      <c r="AX274" s="397">
        <f t="shared" si="146"/>
        <v>0</v>
      </c>
      <c r="AY274" s="399" t="s">
        <v>1320</v>
      </c>
      <c r="AZ274" s="398">
        <f t="shared" si="147"/>
        <v>0</v>
      </c>
      <c r="BA274" s="398">
        <f t="shared" si="148"/>
        <v>0</v>
      </c>
      <c r="BB274" s="398">
        <f t="shared" si="149"/>
        <v>0</v>
      </c>
      <c r="BC274" s="15"/>
      <c r="BD274" s="14">
        <f t="shared" si="150"/>
        <v>0.33</v>
      </c>
      <c r="BE274" s="677" t="s">
        <v>100</v>
      </c>
      <c r="BF274" s="681">
        <v>0</v>
      </c>
      <c r="BG274" s="658"/>
      <c r="BH274" s="658"/>
      <c r="BI274" s="658" t="str">
        <f t="shared" si="165"/>
        <v>BAJO</v>
      </c>
      <c r="BJ274" s="681">
        <f t="shared" si="151"/>
        <v>0</v>
      </c>
      <c r="BK274" s="658" t="s">
        <v>1912</v>
      </c>
      <c r="BL274" s="682">
        <f t="shared" si="166"/>
        <v>0</v>
      </c>
      <c r="BM274" s="682">
        <f t="shared" si="167"/>
        <v>0</v>
      </c>
      <c r="BN274" s="682">
        <f t="shared" si="168"/>
        <v>0</v>
      </c>
      <c r="BO274" s="658"/>
      <c r="BP274" s="860">
        <v>0.33</v>
      </c>
      <c r="BQ274" s="854" t="s">
        <v>105</v>
      </c>
      <c r="BR274" s="861">
        <v>1</v>
      </c>
      <c r="BS274" s="858" t="s">
        <v>1913</v>
      </c>
      <c r="BT274" s="857"/>
      <c r="BU274" s="905" t="str">
        <f t="shared" si="152"/>
        <v>ALTO</v>
      </c>
      <c r="BV274" s="875">
        <f t="shared" si="158"/>
        <v>0.33</v>
      </c>
      <c r="BW274" s="859" t="s">
        <v>336</v>
      </c>
      <c r="BX274" s="857">
        <f t="shared" si="169"/>
        <v>2.7489000000000003</v>
      </c>
      <c r="BY274" s="857">
        <f t="shared" si="170"/>
        <v>0.32673267326732675</v>
      </c>
      <c r="BZ274" s="857">
        <f t="shared" si="171"/>
        <v>0.14911110499999999</v>
      </c>
      <c r="CA274" s="857">
        <f t="shared" si="172"/>
        <v>0.1245</v>
      </c>
      <c r="CB274" s="16">
        <f t="shared" si="173"/>
        <v>0.66</v>
      </c>
      <c r="CC274" s="16">
        <f t="shared" si="174"/>
        <v>0.34</v>
      </c>
      <c r="CD274" s="16">
        <f t="shared" si="163"/>
        <v>1</v>
      </c>
      <c r="CE274" s="16">
        <f t="shared" si="164"/>
        <v>0.33</v>
      </c>
      <c r="CF274" s="16" t="e">
        <f>SUM(#REF!/(CC274+CB274))</f>
        <v>#REF!</v>
      </c>
      <c r="CG274" s="17"/>
      <c r="CH274" s="17"/>
      <c r="CI274" s="17"/>
      <c r="CJ274" s="17"/>
      <c r="CK274" s="1"/>
      <c r="CL274" s="1"/>
      <c r="CM274" s="1"/>
      <c r="CN274" s="1"/>
      <c r="CO274" s="1"/>
      <c r="CP274" s="1"/>
      <c r="CQ274" s="1"/>
      <c r="CR274" s="1"/>
      <c r="CS274" s="1"/>
      <c r="CT274" s="1"/>
      <c r="CU274" s="1"/>
      <c r="CV274" s="346">
        <f t="shared" si="175"/>
        <v>1</v>
      </c>
    </row>
    <row r="275" spans="1:100" ht="168.75" customHeight="1" x14ac:dyDescent="0.25">
      <c r="A275" s="356" t="s">
        <v>79</v>
      </c>
      <c r="B275" s="356" t="s">
        <v>80</v>
      </c>
      <c r="C275" s="356" t="s">
        <v>81</v>
      </c>
      <c r="D275" s="356" t="s">
        <v>82</v>
      </c>
      <c r="E275" s="356" t="s">
        <v>83</v>
      </c>
      <c r="F275" s="356" t="s">
        <v>84</v>
      </c>
      <c r="G275" s="356" t="s">
        <v>85</v>
      </c>
      <c r="H275" s="356" t="s">
        <v>86</v>
      </c>
      <c r="I275" s="356" t="s">
        <v>87</v>
      </c>
      <c r="J275" s="356" t="s">
        <v>88</v>
      </c>
      <c r="K275" s="357" t="s">
        <v>1869</v>
      </c>
      <c r="L275" s="357" t="s">
        <v>539</v>
      </c>
      <c r="M275" s="357" t="s">
        <v>166</v>
      </c>
      <c r="N275" s="367" t="s">
        <v>91</v>
      </c>
      <c r="O275" s="367" t="s">
        <v>154</v>
      </c>
      <c r="P275" s="930">
        <v>39542136.277533107</v>
      </c>
      <c r="Q275" s="357" t="s">
        <v>543</v>
      </c>
      <c r="R275" s="357" t="s">
        <v>156</v>
      </c>
      <c r="S275" s="357">
        <v>3</v>
      </c>
      <c r="T275" s="377" t="s">
        <v>167</v>
      </c>
      <c r="U275" s="357" t="s">
        <v>168</v>
      </c>
      <c r="V275" s="357" t="s">
        <v>98</v>
      </c>
      <c r="W275" s="497" t="s">
        <v>337</v>
      </c>
      <c r="X275" s="432">
        <v>0</v>
      </c>
      <c r="Y275" s="432">
        <v>0.33</v>
      </c>
      <c r="Z275" s="432">
        <v>0.33</v>
      </c>
      <c r="AA275" s="521">
        <v>0.34</v>
      </c>
      <c r="AB275" s="525">
        <v>8.33</v>
      </c>
      <c r="AC275" s="413">
        <v>0.99009900990099009</v>
      </c>
      <c r="AD275" s="413">
        <v>0.45185183333333329</v>
      </c>
      <c r="AE275" s="413">
        <v>0.37727272727272726</v>
      </c>
      <c r="AF275" s="692">
        <f t="shared" si="161"/>
        <v>0</v>
      </c>
      <c r="AG275" s="693" t="s">
        <v>146</v>
      </c>
      <c r="AH275" s="698">
        <v>0</v>
      </c>
      <c r="AI275" s="693"/>
      <c r="AJ275" s="693"/>
      <c r="AK275" s="693"/>
      <c r="AL275" s="692">
        <f t="shared" si="141"/>
        <v>0</v>
      </c>
      <c r="AM275" s="697" t="s">
        <v>121</v>
      </c>
      <c r="AN275" s="693">
        <f t="shared" si="142"/>
        <v>0</v>
      </c>
      <c r="AO275" s="693">
        <f t="shared" si="143"/>
        <v>0</v>
      </c>
      <c r="AP275" s="693">
        <f t="shared" si="144"/>
        <v>0</v>
      </c>
      <c r="AQ275" s="693"/>
      <c r="AR275" s="401">
        <f t="shared" si="162"/>
        <v>0.33</v>
      </c>
      <c r="AS275" s="402" t="s">
        <v>100</v>
      </c>
      <c r="AT275" s="405">
        <v>0</v>
      </c>
      <c r="AU275" s="402"/>
      <c r="AV275" s="402"/>
      <c r="AW275" s="729" t="str">
        <f t="shared" si="145"/>
        <v>BAJO</v>
      </c>
      <c r="AX275" s="397">
        <f t="shared" si="146"/>
        <v>0</v>
      </c>
      <c r="AY275" s="399" t="s">
        <v>1320</v>
      </c>
      <c r="AZ275" s="398">
        <f t="shared" si="147"/>
        <v>0</v>
      </c>
      <c r="BA275" s="398">
        <f t="shared" si="148"/>
        <v>0</v>
      </c>
      <c r="BB275" s="398">
        <f t="shared" si="149"/>
        <v>0</v>
      </c>
      <c r="BC275" s="15"/>
      <c r="BD275" s="14">
        <f t="shared" si="150"/>
        <v>0.33</v>
      </c>
      <c r="BE275" s="677" t="s">
        <v>100</v>
      </c>
      <c r="BF275" s="681">
        <v>0</v>
      </c>
      <c r="BG275" s="658"/>
      <c r="BH275" s="658"/>
      <c r="BI275" s="658" t="str">
        <f t="shared" si="165"/>
        <v>BAJO</v>
      </c>
      <c r="BJ275" s="681">
        <f t="shared" si="151"/>
        <v>0</v>
      </c>
      <c r="BK275" s="658" t="s">
        <v>1912</v>
      </c>
      <c r="BL275" s="682">
        <f t="shared" si="166"/>
        <v>0</v>
      </c>
      <c r="BM275" s="682">
        <f t="shared" si="167"/>
        <v>0</v>
      </c>
      <c r="BN275" s="682">
        <f t="shared" si="168"/>
        <v>0</v>
      </c>
      <c r="BO275" s="658"/>
      <c r="BP275" s="860">
        <v>0.34</v>
      </c>
      <c r="BQ275" s="854" t="s">
        <v>105</v>
      </c>
      <c r="BR275" s="861">
        <v>0</v>
      </c>
      <c r="BS275" s="858" t="s">
        <v>1914</v>
      </c>
      <c r="BT275" s="857"/>
      <c r="BU275" s="907" t="str">
        <f t="shared" si="152"/>
        <v>BAJO</v>
      </c>
      <c r="BV275" s="875">
        <f t="shared" si="158"/>
        <v>0</v>
      </c>
      <c r="BW275" s="859" t="s">
        <v>1860</v>
      </c>
      <c r="BX275" s="857">
        <f t="shared" si="169"/>
        <v>0</v>
      </c>
      <c r="BY275" s="857">
        <f t="shared" si="170"/>
        <v>0</v>
      </c>
      <c r="BZ275" s="857">
        <f t="shared" si="171"/>
        <v>0</v>
      </c>
      <c r="CA275" s="857">
        <f t="shared" si="172"/>
        <v>0</v>
      </c>
      <c r="CB275" s="16">
        <f t="shared" si="173"/>
        <v>0.67</v>
      </c>
      <c r="CC275" s="16">
        <f t="shared" si="174"/>
        <v>0.33</v>
      </c>
      <c r="CD275" s="16">
        <f t="shared" si="163"/>
        <v>1</v>
      </c>
      <c r="CE275" s="16">
        <f t="shared" si="164"/>
        <v>0</v>
      </c>
      <c r="CF275" s="16" t="e">
        <f>SUM(#REF!/(CC275+CB275))</f>
        <v>#REF!</v>
      </c>
      <c r="CG275" s="17"/>
      <c r="CH275" s="17"/>
      <c r="CI275" s="17"/>
      <c r="CJ275" s="17"/>
      <c r="CK275" s="486"/>
      <c r="CL275" s="486"/>
      <c r="CM275" s="486"/>
      <c r="CN275" s="486"/>
      <c r="CO275" s="486"/>
      <c r="CP275" s="486"/>
      <c r="CQ275" s="486"/>
      <c r="CR275" s="486"/>
      <c r="CS275" s="486"/>
      <c r="CT275" s="486"/>
      <c r="CU275" s="486"/>
      <c r="CV275" s="346">
        <f t="shared" si="175"/>
        <v>1</v>
      </c>
    </row>
    <row r="276" spans="1:100" ht="184.5" customHeight="1" x14ac:dyDescent="0.25">
      <c r="A276" s="356" t="s">
        <v>79</v>
      </c>
      <c r="B276" s="356" t="s">
        <v>80</v>
      </c>
      <c r="C276" s="356" t="s">
        <v>81</v>
      </c>
      <c r="D276" s="356" t="s">
        <v>82</v>
      </c>
      <c r="E276" s="356" t="s">
        <v>83</v>
      </c>
      <c r="F276" s="356" t="s">
        <v>84</v>
      </c>
      <c r="G276" s="356" t="s">
        <v>85</v>
      </c>
      <c r="H276" s="356" t="s">
        <v>86</v>
      </c>
      <c r="I276" s="356" t="s">
        <v>87</v>
      </c>
      <c r="J276" s="356" t="s">
        <v>88</v>
      </c>
      <c r="K276" s="357" t="s">
        <v>1869</v>
      </c>
      <c r="L276" s="357" t="s">
        <v>539</v>
      </c>
      <c r="M276" s="357" t="s">
        <v>174</v>
      </c>
      <c r="N276" s="367" t="s">
        <v>91</v>
      </c>
      <c r="O276" s="367" t="s">
        <v>154</v>
      </c>
      <c r="P276" s="930">
        <v>39542136.277533107</v>
      </c>
      <c r="Q276" s="357" t="s">
        <v>543</v>
      </c>
      <c r="R276" s="357" t="s">
        <v>156</v>
      </c>
      <c r="S276" s="357">
        <v>3</v>
      </c>
      <c r="T276" s="371" t="s">
        <v>175</v>
      </c>
      <c r="U276" s="357" t="s">
        <v>176</v>
      </c>
      <c r="V276" s="357" t="s">
        <v>98</v>
      </c>
      <c r="W276" s="497" t="s">
        <v>342</v>
      </c>
      <c r="X276" s="432">
        <v>0</v>
      </c>
      <c r="Y276" s="432">
        <v>0.33</v>
      </c>
      <c r="Z276" s="432">
        <v>0.33</v>
      </c>
      <c r="AA276" s="444">
        <v>0.34</v>
      </c>
      <c r="AB276" s="525">
        <v>8.33</v>
      </c>
      <c r="AC276" s="413">
        <v>0.99009900990099009</v>
      </c>
      <c r="AD276" s="413">
        <v>0.45185183333333329</v>
      </c>
      <c r="AE276" s="413">
        <v>0.37727272727272726</v>
      </c>
      <c r="AF276" s="692">
        <f t="shared" si="161"/>
        <v>0</v>
      </c>
      <c r="AG276" s="693" t="s">
        <v>146</v>
      </c>
      <c r="AH276" s="698">
        <v>0</v>
      </c>
      <c r="AI276" s="693"/>
      <c r="AJ276" s="693"/>
      <c r="AK276" s="693"/>
      <c r="AL276" s="692">
        <f t="shared" si="141"/>
        <v>0</v>
      </c>
      <c r="AM276" s="697" t="s">
        <v>121</v>
      </c>
      <c r="AN276" s="693">
        <f t="shared" si="142"/>
        <v>0</v>
      </c>
      <c r="AO276" s="693">
        <f t="shared" si="143"/>
        <v>0</v>
      </c>
      <c r="AP276" s="693">
        <f t="shared" si="144"/>
        <v>0</v>
      </c>
      <c r="AQ276" s="693"/>
      <c r="AR276" s="401">
        <f t="shared" si="162"/>
        <v>0.33</v>
      </c>
      <c r="AS276" s="402" t="s">
        <v>100</v>
      </c>
      <c r="AT276" s="405">
        <v>0</v>
      </c>
      <c r="AU276" s="402"/>
      <c r="AV276" s="402"/>
      <c r="AW276" s="729" t="str">
        <f t="shared" si="145"/>
        <v>BAJO</v>
      </c>
      <c r="AX276" s="397">
        <f t="shared" si="146"/>
        <v>0</v>
      </c>
      <c r="AY276" s="399" t="s">
        <v>1320</v>
      </c>
      <c r="AZ276" s="398">
        <f t="shared" si="147"/>
        <v>0</v>
      </c>
      <c r="BA276" s="398">
        <f t="shared" si="148"/>
        <v>0</v>
      </c>
      <c r="BB276" s="398">
        <f t="shared" si="149"/>
        <v>0</v>
      </c>
      <c r="BC276" s="15"/>
      <c r="BD276" s="14">
        <f t="shared" si="150"/>
        <v>0.33</v>
      </c>
      <c r="BE276" s="677" t="s">
        <v>100</v>
      </c>
      <c r="BF276" s="681">
        <f>1/1</f>
        <v>1</v>
      </c>
      <c r="BG276" s="658"/>
      <c r="BH276" s="658"/>
      <c r="BI276" s="658" t="str">
        <f t="shared" si="165"/>
        <v>ALTO</v>
      </c>
      <c r="BJ276" s="681">
        <f t="shared" si="151"/>
        <v>0.33</v>
      </c>
      <c r="BK276" s="658" t="s">
        <v>1915</v>
      </c>
      <c r="BL276" s="682">
        <f t="shared" si="166"/>
        <v>3.9615846338535418E-2</v>
      </c>
      <c r="BM276" s="682">
        <f t="shared" si="167"/>
        <v>0.33330000000000004</v>
      </c>
      <c r="BN276" s="682">
        <f t="shared" si="168"/>
        <v>0.73032789878393034</v>
      </c>
      <c r="BO276" s="658"/>
      <c r="BP276" s="860">
        <v>0.34</v>
      </c>
      <c r="BQ276" s="854" t="s">
        <v>105</v>
      </c>
      <c r="BR276" s="855">
        <v>1</v>
      </c>
      <c r="BS276" s="858" t="s">
        <v>1916</v>
      </c>
      <c r="BT276" s="857"/>
      <c r="BU276" s="905" t="str">
        <f t="shared" si="152"/>
        <v>ALTO</v>
      </c>
      <c r="BV276" s="875">
        <f t="shared" si="158"/>
        <v>0.34</v>
      </c>
      <c r="BW276" s="859" t="s">
        <v>180</v>
      </c>
      <c r="BX276" s="857">
        <f t="shared" si="169"/>
        <v>2.8322000000000003</v>
      </c>
      <c r="BY276" s="857">
        <f t="shared" si="170"/>
        <v>0.33663366336633666</v>
      </c>
      <c r="BZ276" s="857">
        <f t="shared" si="171"/>
        <v>0.15362962333333333</v>
      </c>
      <c r="CA276" s="857">
        <f t="shared" si="172"/>
        <v>0.12827272727272729</v>
      </c>
      <c r="CB276" s="16">
        <f t="shared" si="173"/>
        <v>0.67</v>
      </c>
      <c r="CC276" s="16">
        <f t="shared" si="174"/>
        <v>0.33</v>
      </c>
      <c r="CD276" s="16">
        <f t="shared" si="163"/>
        <v>1</v>
      </c>
      <c r="CE276" s="16">
        <f t="shared" si="164"/>
        <v>0.67</v>
      </c>
      <c r="CF276" s="16" t="e">
        <f>SUM(#REF!/(CC276+CB276))</f>
        <v>#REF!</v>
      </c>
      <c r="CG276" s="17"/>
      <c r="CH276" s="17"/>
      <c r="CI276" s="17"/>
      <c r="CJ276" s="17"/>
      <c r="CK276" s="486"/>
      <c r="CL276" s="486"/>
      <c r="CM276" s="486"/>
      <c r="CN276" s="486"/>
      <c r="CO276" s="486"/>
      <c r="CP276" s="486"/>
      <c r="CQ276" s="486"/>
      <c r="CR276" s="486"/>
      <c r="CS276" s="486"/>
      <c r="CT276" s="486"/>
      <c r="CU276" s="486"/>
      <c r="CV276" s="346">
        <f t="shared" si="175"/>
        <v>1</v>
      </c>
    </row>
    <row r="277" spans="1:100" ht="192" customHeight="1" x14ac:dyDescent="0.25">
      <c r="A277" s="356" t="s">
        <v>79</v>
      </c>
      <c r="B277" s="356" t="s">
        <v>80</v>
      </c>
      <c r="C277" s="356" t="s">
        <v>81</v>
      </c>
      <c r="D277" s="356" t="s">
        <v>82</v>
      </c>
      <c r="E277" s="356" t="s">
        <v>83</v>
      </c>
      <c r="F277" s="356" t="s">
        <v>84</v>
      </c>
      <c r="G277" s="356" t="s">
        <v>85</v>
      </c>
      <c r="H277" s="356" t="s">
        <v>86</v>
      </c>
      <c r="I277" s="356" t="s">
        <v>87</v>
      </c>
      <c r="J277" s="356" t="s">
        <v>88</v>
      </c>
      <c r="K277" s="357" t="s">
        <v>1869</v>
      </c>
      <c r="L277" s="357" t="s">
        <v>539</v>
      </c>
      <c r="M277" s="357" t="s">
        <v>181</v>
      </c>
      <c r="N277" s="367" t="s">
        <v>91</v>
      </c>
      <c r="O277" s="367" t="s">
        <v>154</v>
      </c>
      <c r="P277" s="930">
        <v>39542136.277533107</v>
      </c>
      <c r="Q277" s="357" t="s">
        <v>543</v>
      </c>
      <c r="R277" s="357" t="s">
        <v>156</v>
      </c>
      <c r="S277" s="428">
        <v>3</v>
      </c>
      <c r="T277" s="369" t="s">
        <v>182</v>
      </c>
      <c r="U277" s="357" t="s">
        <v>183</v>
      </c>
      <c r="V277" s="357" t="s">
        <v>771</v>
      </c>
      <c r="W277" s="497" t="s">
        <v>1917</v>
      </c>
      <c r="X277" s="432">
        <v>0</v>
      </c>
      <c r="Y277" s="432"/>
      <c r="Z277" s="432">
        <v>0.34</v>
      </c>
      <c r="AA277" s="444">
        <v>0.66</v>
      </c>
      <c r="AB277" s="525">
        <v>8.33</v>
      </c>
      <c r="AC277" s="413">
        <v>0.99009900990099009</v>
      </c>
      <c r="AD277" s="413">
        <v>0.45185183333333329</v>
      </c>
      <c r="AE277" s="413">
        <v>0.37727272727272726</v>
      </c>
      <c r="AF277" s="692">
        <f t="shared" si="161"/>
        <v>0</v>
      </c>
      <c r="AG277" s="693" t="s">
        <v>146</v>
      </c>
      <c r="AH277" s="698">
        <v>0</v>
      </c>
      <c r="AI277" s="693"/>
      <c r="AJ277" s="693"/>
      <c r="AK277" s="693"/>
      <c r="AL277" s="692">
        <f t="shared" si="141"/>
        <v>0</v>
      </c>
      <c r="AM277" s="697" t="s">
        <v>121</v>
      </c>
      <c r="AN277" s="693">
        <f t="shared" si="142"/>
        <v>0</v>
      </c>
      <c r="AO277" s="693">
        <f t="shared" si="143"/>
        <v>0</v>
      </c>
      <c r="AP277" s="693">
        <f t="shared" si="144"/>
        <v>0</v>
      </c>
      <c r="AQ277" s="693"/>
      <c r="AR277" s="401">
        <f t="shared" si="162"/>
        <v>0</v>
      </c>
      <c r="AS277" s="402" t="s">
        <v>146</v>
      </c>
      <c r="AT277" s="405">
        <v>0</v>
      </c>
      <c r="AU277" s="402"/>
      <c r="AV277" s="402"/>
      <c r="AW277" s="729"/>
      <c r="AX277" s="397">
        <f t="shared" si="146"/>
        <v>0</v>
      </c>
      <c r="AY277" s="399" t="s">
        <v>121</v>
      </c>
      <c r="AZ277" s="398">
        <f t="shared" si="147"/>
        <v>0</v>
      </c>
      <c r="BA277" s="398">
        <f t="shared" si="148"/>
        <v>0</v>
      </c>
      <c r="BB277" s="398">
        <f t="shared" si="149"/>
        <v>0</v>
      </c>
      <c r="BC277" s="15"/>
      <c r="BD277" s="14">
        <f t="shared" si="150"/>
        <v>0.34</v>
      </c>
      <c r="BE277" s="677" t="s">
        <v>100</v>
      </c>
      <c r="BF277" s="681">
        <v>0</v>
      </c>
      <c r="BG277" s="658"/>
      <c r="BH277" s="658"/>
      <c r="BI277" s="658" t="str">
        <f t="shared" si="165"/>
        <v>BAJO</v>
      </c>
      <c r="BJ277" s="681">
        <f t="shared" si="151"/>
        <v>0</v>
      </c>
      <c r="BK277" s="658" t="s">
        <v>1918</v>
      </c>
      <c r="BL277" s="682">
        <f t="shared" si="166"/>
        <v>0</v>
      </c>
      <c r="BM277" s="682">
        <f t="shared" si="167"/>
        <v>0</v>
      </c>
      <c r="BN277" s="682">
        <f t="shared" si="168"/>
        <v>0</v>
      </c>
      <c r="BO277" s="658"/>
      <c r="BP277" s="860">
        <v>0.66</v>
      </c>
      <c r="BQ277" s="854" t="s">
        <v>105</v>
      </c>
      <c r="BR277" s="861">
        <v>1</v>
      </c>
      <c r="BS277" s="858" t="s">
        <v>1919</v>
      </c>
      <c r="BT277" s="858" t="s">
        <v>1920</v>
      </c>
      <c r="BU277" s="905" t="str">
        <f t="shared" si="152"/>
        <v>ALTO</v>
      </c>
      <c r="BV277" s="875">
        <f t="shared" si="158"/>
        <v>0.66</v>
      </c>
      <c r="BW277" s="859" t="s">
        <v>531</v>
      </c>
      <c r="BX277" s="857">
        <f t="shared" si="169"/>
        <v>5.4978000000000007</v>
      </c>
      <c r="BY277" s="857">
        <f t="shared" si="170"/>
        <v>0.65346534653465349</v>
      </c>
      <c r="BZ277" s="857">
        <f t="shared" si="171"/>
        <v>0.29822220999999999</v>
      </c>
      <c r="CA277" s="857">
        <f t="shared" si="172"/>
        <v>0.249</v>
      </c>
      <c r="CB277" s="16">
        <f t="shared" si="173"/>
        <v>1</v>
      </c>
      <c r="CC277" s="16">
        <f t="shared" si="174"/>
        <v>0</v>
      </c>
      <c r="CD277" s="16">
        <f t="shared" si="163"/>
        <v>1</v>
      </c>
      <c r="CE277" s="16">
        <f t="shared" si="164"/>
        <v>0.66</v>
      </c>
      <c r="CF277" s="16" t="e">
        <f>SUM(#REF!/(CC277+CB277))</f>
        <v>#REF!</v>
      </c>
      <c r="CG277" s="17"/>
      <c r="CH277" s="17"/>
      <c r="CI277" s="17"/>
      <c r="CJ277" s="17"/>
      <c r="CK277" s="1"/>
      <c r="CL277" s="1"/>
      <c r="CM277" s="1"/>
      <c r="CN277" s="1"/>
      <c r="CO277" s="1"/>
      <c r="CP277" s="1"/>
      <c r="CQ277" s="1"/>
      <c r="CR277" s="1"/>
      <c r="CS277" s="1"/>
      <c r="CT277" s="1"/>
      <c r="CU277" s="1"/>
      <c r="CV277" s="346">
        <f t="shared" si="175"/>
        <v>1</v>
      </c>
    </row>
    <row r="278" spans="1:100" ht="180" customHeight="1" x14ac:dyDescent="0.25">
      <c r="A278" s="356" t="s">
        <v>79</v>
      </c>
      <c r="B278" s="356" t="s">
        <v>80</v>
      </c>
      <c r="C278" s="356" t="s">
        <v>81</v>
      </c>
      <c r="D278" s="356" t="s">
        <v>82</v>
      </c>
      <c r="E278" s="356" t="s">
        <v>83</v>
      </c>
      <c r="F278" s="356" t="s">
        <v>84</v>
      </c>
      <c r="G278" s="356" t="s">
        <v>85</v>
      </c>
      <c r="H278" s="356" t="s">
        <v>86</v>
      </c>
      <c r="I278" s="356" t="s">
        <v>87</v>
      </c>
      <c r="J278" s="356" t="s">
        <v>152</v>
      </c>
      <c r="K278" s="357" t="s">
        <v>1869</v>
      </c>
      <c r="L278" s="357" t="s">
        <v>539</v>
      </c>
      <c r="M278" s="357" t="s">
        <v>1921</v>
      </c>
      <c r="N278" s="367" t="s">
        <v>91</v>
      </c>
      <c r="O278" s="367" t="s">
        <v>154</v>
      </c>
      <c r="P278" s="930">
        <v>39542136.277533107</v>
      </c>
      <c r="Q278" s="357" t="s">
        <v>543</v>
      </c>
      <c r="R278" s="357" t="s">
        <v>156</v>
      </c>
      <c r="S278" s="357">
        <v>9</v>
      </c>
      <c r="T278" s="369" t="s">
        <v>191</v>
      </c>
      <c r="U278" s="357" t="s">
        <v>158</v>
      </c>
      <c r="V278" s="357" t="s">
        <v>98</v>
      </c>
      <c r="W278" s="497" t="s">
        <v>427</v>
      </c>
      <c r="X278" s="432">
        <v>0</v>
      </c>
      <c r="Y278" s="432">
        <v>0.33</v>
      </c>
      <c r="Z278" s="432">
        <v>0.33</v>
      </c>
      <c r="AA278" s="521">
        <v>0.34</v>
      </c>
      <c r="AB278" s="525">
        <v>8.33</v>
      </c>
      <c r="AC278" s="413">
        <v>0.99009900990099009</v>
      </c>
      <c r="AD278" s="413">
        <v>0.45185183333333329</v>
      </c>
      <c r="AE278" s="413">
        <v>0.37727272727272726</v>
      </c>
      <c r="AF278" s="692">
        <f t="shared" si="161"/>
        <v>0</v>
      </c>
      <c r="AG278" s="693" t="s">
        <v>146</v>
      </c>
      <c r="AH278" s="698">
        <v>0</v>
      </c>
      <c r="AI278" s="693"/>
      <c r="AJ278" s="693"/>
      <c r="AK278" s="693"/>
      <c r="AL278" s="692">
        <f t="shared" si="141"/>
        <v>0</v>
      </c>
      <c r="AM278" s="697" t="s">
        <v>121</v>
      </c>
      <c r="AN278" s="693">
        <f t="shared" si="142"/>
        <v>0</v>
      </c>
      <c r="AO278" s="693">
        <f t="shared" si="143"/>
        <v>0</v>
      </c>
      <c r="AP278" s="693">
        <f t="shared" si="144"/>
        <v>0</v>
      </c>
      <c r="AQ278" s="693"/>
      <c r="AR278" s="401">
        <f t="shared" si="162"/>
        <v>0.33</v>
      </c>
      <c r="AS278" s="402" t="s">
        <v>100</v>
      </c>
      <c r="AT278" s="405">
        <v>0</v>
      </c>
      <c r="AU278" s="402"/>
      <c r="AV278" s="402"/>
      <c r="AW278" s="729" t="str">
        <f t="shared" si="145"/>
        <v>BAJO</v>
      </c>
      <c r="AX278" s="397">
        <f t="shared" si="146"/>
        <v>0</v>
      </c>
      <c r="AY278" s="399" t="s">
        <v>1320</v>
      </c>
      <c r="AZ278" s="398">
        <f t="shared" si="147"/>
        <v>0</v>
      </c>
      <c r="BA278" s="398">
        <f t="shared" si="148"/>
        <v>0</v>
      </c>
      <c r="BB278" s="398">
        <f t="shared" si="149"/>
        <v>0</v>
      </c>
      <c r="BC278" s="15"/>
      <c r="BD278" s="14">
        <f t="shared" si="150"/>
        <v>0.33</v>
      </c>
      <c r="BE278" s="677" t="s">
        <v>100</v>
      </c>
      <c r="BF278" s="681">
        <v>0</v>
      </c>
      <c r="BG278" s="658"/>
      <c r="BH278" s="658"/>
      <c r="BI278" s="658" t="str">
        <f t="shared" si="165"/>
        <v>BAJO</v>
      </c>
      <c r="BJ278" s="681">
        <f t="shared" si="151"/>
        <v>0</v>
      </c>
      <c r="BK278" s="658" t="s">
        <v>1918</v>
      </c>
      <c r="BL278" s="682">
        <f t="shared" si="166"/>
        <v>0</v>
      </c>
      <c r="BM278" s="682">
        <f t="shared" si="167"/>
        <v>0</v>
      </c>
      <c r="BN278" s="682">
        <f t="shared" si="168"/>
        <v>0</v>
      </c>
      <c r="BO278" s="658"/>
      <c r="BP278" s="860">
        <v>0.34</v>
      </c>
      <c r="BQ278" s="854" t="s">
        <v>105</v>
      </c>
      <c r="BR278" s="861">
        <v>0</v>
      </c>
      <c r="BS278" s="858" t="s">
        <v>1922</v>
      </c>
      <c r="BT278" s="857"/>
      <c r="BU278" s="907" t="str">
        <f t="shared" si="152"/>
        <v>BAJO</v>
      </c>
      <c r="BV278" s="875">
        <f t="shared" si="158"/>
        <v>0</v>
      </c>
      <c r="BW278" s="874" t="s">
        <v>349</v>
      </c>
      <c r="BX278" s="857">
        <f t="shared" si="169"/>
        <v>0</v>
      </c>
      <c r="BY278" s="857">
        <f t="shared" si="170"/>
        <v>0</v>
      </c>
      <c r="BZ278" s="857">
        <f t="shared" si="171"/>
        <v>0</v>
      </c>
      <c r="CA278" s="857">
        <f t="shared" si="172"/>
        <v>0</v>
      </c>
      <c r="CB278" s="16">
        <f t="shared" si="173"/>
        <v>0.67</v>
      </c>
      <c r="CC278" s="16">
        <f t="shared" si="174"/>
        <v>0.33</v>
      </c>
      <c r="CD278" s="16">
        <f t="shared" si="163"/>
        <v>1</v>
      </c>
      <c r="CE278" s="16">
        <f t="shared" si="164"/>
        <v>0</v>
      </c>
      <c r="CF278" s="16" t="e">
        <f>SUM(#REF!/(CC278+CB278))</f>
        <v>#REF!</v>
      </c>
      <c r="CG278" s="17"/>
      <c r="CH278" s="17"/>
      <c r="CI278" s="17"/>
      <c r="CJ278" s="17"/>
      <c r="CK278" s="1"/>
      <c r="CL278" s="1"/>
      <c r="CM278" s="1"/>
      <c r="CN278" s="1"/>
      <c r="CO278" s="1"/>
      <c r="CP278" s="1"/>
      <c r="CQ278" s="1"/>
      <c r="CR278" s="1"/>
      <c r="CS278" s="1"/>
      <c r="CT278" s="1"/>
      <c r="CU278" s="1"/>
      <c r="CV278" s="346">
        <f t="shared" si="175"/>
        <v>1</v>
      </c>
    </row>
    <row r="279" spans="1:100" ht="169.5" customHeight="1" x14ac:dyDescent="0.25">
      <c r="A279" s="356" t="s">
        <v>79</v>
      </c>
      <c r="B279" s="356" t="s">
        <v>80</v>
      </c>
      <c r="C279" s="356" t="s">
        <v>81</v>
      </c>
      <c r="D279" s="356" t="s">
        <v>82</v>
      </c>
      <c r="E279" s="356" t="s">
        <v>83</v>
      </c>
      <c r="F279" s="356" t="s">
        <v>84</v>
      </c>
      <c r="G279" s="356" t="s">
        <v>85</v>
      </c>
      <c r="H279" s="356" t="s">
        <v>86</v>
      </c>
      <c r="I279" s="356" t="s">
        <v>87</v>
      </c>
      <c r="J279" s="356" t="s">
        <v>152</v>
      </c>
      <c r="K279" s="357" t="s">
        <v>1869</v>
      </c>
      <c r="L279" s="357" t="s">
        <v>539</v>
      </c>
      <c r="M279" s="357" t="s">
        <v>195</v>
      </c>
      <c r="N279" s="367" t="s">
        <v>91</v>
      </c>
      <c r="O279" s="367" t="s">
        <v>154</v>
      </c>
      <c r="P279" s="930">
        <v>39542136.277533107</v>
      </c>
      <c r="Q279" s="357" t="s">
        <v>543</v>
      </c>
      <c r="R279" s="357" t="s">
        <v>156</v>
      </c>
      <c r="S279" s="357">
        <v>7</v>
      </c>
      <c r="T279" s="369" t="s">
        <v>196</v>
      </c>
      <c r="U279" s="357" t="s">
        <v>158</v>
      </c>
      <c r="V279" s="370" t="s">
        <v>98</v>
      </c>
      <c r="W279" s="497" t="s">
        <v>197</v>
      </c>
      <c r="X279" s="432">
        <v>0</v>
      </c>
      <c r="Y279" s="432">
        <f>1/7</f>
        <v>0.14285714285714285</v>
      </c>
      <c r="Z279" s="432">
        <f>3/7</f>
        <v>0.42857142857142855</v>
      </c>
      <c r="AA279" s="444">
        <f>3/7</f>
        <v>0.42857142857142855</v>
      </c>
      <c r="AB279" s="525">
        <v>8.33</v>
      </c>
      <c r="AC279" s="413">
        <v>0.99009900990099009</v>
      </c>
      <c r="AD279" s="413">
        <v>0.45185183333333329</v>
      </c>
      <c r="AE279" s="413">
        <v>0.37727272727272726</v>
      </c>
      <c r="AF279" s="692">
        <f t="shared" si="161"/>
        <v>0</v>
      </c>
      <c r="AG279" s="693" t="s">
        <v>146</v>
      </c>
      <c r="AH279" s="698">
        <v>0</v>
      </c>
      <c r="AI279" s="693"/>
      <c r="AJ279" s="693"/>
      <c r="AK279" s="693"/>
      <c r="AL279" s="692">
        <f t="shared" si="141"/>
        <v>0</v>
      </c>
      <c r="AM279" s="697" t="s">
        <v>121</v>
      </c>
      <c r="AN279" s="693">
        <f t="shared" si="142"/>
        <v>0</v>
      </c>
      <c r="AO279" s="693">
        <f t="shared" si="143"/>
        <v>0</v>
      </c>
      <c r="AP279" s="693">
        <f t="shared" si="144"/>
        <v>0</v>
      </c>
      <c r="AQ279" s="693"/>
      <c r="AR279" s="401">
        <f t="shared" si="162"/>
        <v>0.14285714285714285</v>
      </c>
      <c r="AS279" s="402" t="s">
        <v>100</v>
      </c>
      <c r="AT279" s="405">
        <v>0</v>
      </c>
      <c r="AU279" s="402"/>
      <c r="AV279" s="402"/>
      <c r="AW279" s="729" t="str">
        <f t="shared" si="145"/>
        <v>BAJO</v>
      </c>
      <c r="AX279" s="397">
        <f t="shared" si="146"/>
        <v>0</v>
      </c>
      <c r="AY279" s="399" t="s">
        <v>1320</v>
      </c>
      <c r="AZ279" s="398">
        <f t="shared" si="147"/>
        <v>0</v>
      </c>
      <c r="BA279" s="398">
        <f t="shared" si="148"/>
        <v>0</v>
      </c>
      <c r="BB279" s="398">
        <f t="shared" si="149"/>
        <v>0</v>
      </c>
      <c r="BC279" s="15"/>
      <c r="BD279" s="14">
        <f t="shared" si="150"/>
        <v>0.42857142857142855</v>
      </c>
      <c r="BE279" s="677" t="s">
        <v>100</v>
      </c>
      <c r="BF279" s="681">
        <v>0</v>
      </c>
      <c r="BG279" s="658"/>
      <c r="BH279" s="658"/>
      <c r="BI279" s="658" t="str">
        <f t="shared" si="165"/>
        <v>BAJO</v>
      </c>
      <c r="BJ279" s="681">
        <f t="shared" si="151"/>
        <v>0</v>
      </c>
      <c r="BK279" s="658" t="s">
        <v>1918</v>
      </c>
      <c r="BL279" s="682">
        <f t="shared" si="166"/>
        <v>0</v>
      </c>
      <c r="BM279" s="682">
        <f t="shared" si="167"/>
        <v>0</v>
      </c>
      <c r="BN279" s="682">
        <f t="shared" si="168"/>
        <v>0</v>
      </c>
      <c r="BO279" s="658"/>
      <c r="BP279" s="860">
        <v>0.43</v>
      </c>
      <c r="BQ279" s="854" t="s">
        <v>105</v>
      </c>
      <c r="BR279" s="861">
        <v>1</v>
      </c>
      <c r="BS279" s="858" t="s">
        <v>1923</v>
      </c>
      <c r="BT279" s="857"/>
      <c r="BU279" s="905" t="str">
        <f t="shared" si="152"/>
        <v>ALTO</v>
      </c>
      <c r="BV279" s="875">
        <f t="shared" si="158"/>
        <v>0.43</v>
      </c>
      <c r="BW279" s="862" t="s">
        <v>1924</v>
      </c>
      <c r="BX279" s="857">
        <f t="shared" si="169"/>
        <v>3.5819000000000001</v>
      </c>
      <c r="BY279" s="857">
        <f t="shared" si="170"/>
        <v>0.42574257425742573</v>
      </c>
      <c r="BZ279" s="857">
        <f t="shared" si="171"/>
        <v>0.19429628833333332</v>
      </c>
      <c r="CA279" s="857">
        <f t="shared" si="172"/>
        <v>0.16222727272727272</v>
      </c>
      <c r="CB279" s="16">
        <f t="shared" si="173"/>
        <v>0.85857142857142854</v>
      </c>
      <c r="CC279" s="16">
        <f t="shared" si="174"/>
        <v>0.14285714285714285</v>
      </c>
      <c r="CD279" s="16">
        <f t="shared" si="163"/>
        <v>1</v>
      </c>
      <c r="CE279" s="16">
        <f t="shared" si="164"/>
        <v>0.43</v>
      </c>
      <c r="CF279" s="16" t="e">
        <f>SUM(#REF!/(CC279+CB279))</f>
        <v>#REF!</v>
      </c>
      <c r="CG279" s="17"/>
      <c r="CH279" s="17"/>
      <c r="CI279" s="17"/>
      <c r="CJ279" s="17"/>
      <c r="CK279" s="1"/>
      <c r="CL279" s="1"/>
      <c r="CM279" s="1"/>
      <c r="CN279" s="1"/>
      <c r="CO279" s="1"/>
      <c r="CP279" s="1"/>
      <c r="CQ279" s="1"/>
      <c r="CR279" s="1"/>
      <c r="CS279" s="1"/>
      <c r="CT279" s="1"/>
      <c r="CU279" s="1"/>
      <c r="CV279" s="346">
        <f t="shared" si="175"/>
        <v>1</v>
      </c>
    </row>
    <row r="280" spans="1:100" ht="171" x14ac:dyDescent="0.25">
      <c r="A280" s="356" t="s">
        <v>79</v>
      </c>
      <c r="B280" s="356" t="s">
        <v>80</v>
      </c>
      <c r="C280" s="356" t="s">
        <v>81</v>
      </c>
      <c r="D280" s="356" t="s">
        <v>82</v>
      </c>
      <c r="E280" s="356" t="s">
        <v>83</v>
      </c>
      <c r="F280" s="356" t="s">
        <v>84</v>
      </c>
      <c r="G280" s="356" t="s">
        <v>85</v>
      </c>
      <c r="H280" s="351" t="s">
        <v>86</v>
      </c>
      <c r="I280" s="351" t="s">
        <v>87</v>
      </c>
      <c r="J280" s="351" t="s">
        <v>152</v>
      </c>
      <c r="K280" s="357" t="s">
        <v>1869</v>
      </c>
      <c r="L280" s="357" t="s">
        <v>539</v>
      </c>
      <c r="M280" s="357" t="s">
        <v>201</v>
      </c>
      <c r="N280" s="367" t="s">
        <v>91</v>
      </c>
      <c r="O280" s="367" t="s">
        <v>202</v>
      </c>
      <c r="P280" s="930">
        <v>39542136.277533107</v>
      </c>
      <c r="Q280" s="357" t="s">
        <v>543</v>
      </c>
      <c r="R280" s="357" t="s">
        <v>156</v>
      </c>
      <c r="S280" s="378">
        <v>1</v>
      </c>
      <c r="T280" s="369" t="s">
        <v>201</v>
      </c>
      <c r="U280" s="357" t="s">
        <v>204</v>
      </c>
      <c r="V280" s="357" t="s">
        <v>98</v>
      </c>
      <c r="W280" s="497" t="s">
        <v>205</v>
      </c>
      <c r="X280" s="432">
        <v>0</v>
      </c>
      <c r="Y280" s="432">
        <v>0</v>
      </c>
      <c r="Z280" s="432">
        <v>0</v>
      </c>
      <c r="AA280" s="444">
        <v>1</v>
      </c>
      <c r="AB280" s="525">
        <v>8.33</v>
      </c>
      <c r="AC280" s="413">
        <v>0.99009900990099009</v>
      </c>
      <c r="AD280" s="413">
        <v>0.45185183333333329</v>
      </c>
      <c r="AE280" s="413">
        <v>0.37727272727272726</v>
      </c>
      <c r="AF280" s="692">
        <f t="shared" si="161"/>
        <v>0</v>
      </c>
      <c r="AG280" s="693" t="s">
        <v>146</v>
      </c>
      <c r="AH280" s="698">
        <v>0</v>
      </c>
      <c r="AI280" s="693"/>
      <c r="AJ280" s="693"/>
      <c r="AK280" s="693"/>
      <c r="AL280" s="692">
        <f t="shared" si="141"/>
        <v>0</v>
      </c>
      <c r="AM280" s="697" t="s">
        <v>121</v>
      </c>
      <c r="AN280" s="693">
        <f t="shared" si="142"/>
        <v>0</v>
      </c>
      <c r="AO280" s="693">
        <f t="shared" si="143"/>
        <v>0</v>
      </c>
      <c r="AP280" s="693">
        <f t="shared" si="144"/>
        <v>0</v>
      </c>
      <c r="AQ280" s="693"/>
      <c r="AR280" s="401">
        <f t="shared" si="162"/>
        <v>0</v>
      </c>
      <c r="AS280" s="402" t="s">
        <v>146</v>
      </c>
      <c r="AT280" s="405">
        <v>0</v>
      </c>
      <c r="AU280" s="402"/>
      <c r="AV280" s="402"/>
      <c r="AW280" s="729"/>
      <c r="AX280" s="397">
        <f t="shared" si="146"/>
        <v>0</v>
      </c>
      <c r="AY280" s="399" t="s">
        <v>121</v>
      </c>
      <c r="AZ280" s="398">
        <f t="shared" si="147"/>
        <v>0</v>
      </c>
      <c r="BA280" s="398">
        <f t="shared" si="148"/>
        <v>0</v>
      </c>
      <c r="BB280" s="398">
        <f t="shared" si="149"/>
        <v>0</v>
      </c>
      <c r="BC280" s="15"/>
      <c r="BD280" s="14">
        <f t="shared" si="150"/>
        <v>0</v>
      </c>
      <c r="BE280" s="677" t="s">
        <v>100</v>
      </c>
      <c r="BF280" s="681"/>
      <c r="BG280" s="658"/>
      <c r="BH280" s="658"/>
      <c r="BI280" s="658" t="str">
        <f t="shared" si="165"/>
        <v>BAJO</v>
      </c>
      <c r="BJ280" s="681">
        <f t="shared" si="151"/>
        <v>0</v>
      </c>
      <c r="BK280" s="658" t="s">
        <v>1925</v>
      </c>
      <c r="BL280" s="682">
        <f t="shared" si="166"/>
        <v>0</v>
      </c>
      <c r="BM280" s="682">
        <f t="shared" si="167"/>
        <v>0</v>
      </c>
      <c r="BN280" s="682">
        <f t="shared" si="168"/>
        <v>0</v>
      </c>
      <c r="BO280" s="658"/>
      <c r="BP280" s="860">
        <v>1</v>
      </c>
      <c r="BQ280" s="854" t="s">
        <v>105</v>
      </c>
      <c r="BR280" s="861">
        <v>1</v>
      </c>
      <c r="BS280" s="858" t="s">
        <v>1926</v>
      </c>
      <c r="BT280" s="857"/>
      <c r="BU280" s="905" t="str">
        <f t="shared" si="152"/>
        <v>ALTO</v>
      </c>
      <c r="BV280" s="875">
        <f t="shared" si="158"/>
        <v>1</v>
      </c>
      <c r="BW280" s="862" t="s">
        <v>1927</v>
      </c>
      <c r="BX280" s="857">
        <f t="shared" si="169"/>
        <v>8.33</v>
      </c>
      <c r="BY280" s="857">
        <f t="shared" si="170"/>
        <v>0.99009900990099009</v>
      </c>
      <c r="BZ280" s="857">
        <f t="shared" si="171"/>
        <v>0.45185183333333329</v>
      </c>
      <c r="CA280" s="857">
        <f t="shared" si="172"/>
        <v>0.37727272727272726</v>
      </c>
      <c r="CB280" s="16">
        <f t="shared" si="173"/>
        <v>1</v>
      </c>
      <c r="CC280" s="16">
        <f t="shared" si="174"/>
        <v>0</v>
      </c>
      <c r="CD280" s="16">
        <f t="shared" si="163"/>
        <v>1</v>
      </c>
      <c r="CE280" s="16">
        <f t="shared" si="164"/>
        <v>1</v>
      </c>
      <c r="CF280" s="16" t="e">
        <f>SUM(#REF!/(CC280+CB280))</f>
        <v>#REF!</v>
      </c>
      <c r="CG280" s="17"/>
      <c r="CH280" s="17"/>
      <c r="CI280" s="487"/>
      <c r="CJ280" s="17"/>
      <c r="CK280" s="1"/>
      <c r="CL280" s="1"/>
      <c r="CM280" s="1"/>
      <c r="CN280" s="1"/>
      <c r="CO280" s="1"/>
      <c r="CP280" s="1"/>
      <c r="CQ280" s="1"/>
      <c r="CR280" s="1"/>
      <c r="CS280" s="1"/>
      <c r="CT280" s="1"/>
      <c r="CU280" s="1"/>
      <c r="CV280" s="346">
        <f t="shared" si="175"/>
        <v>1</v>
      </c>
    </row>
    <row r="281" spans="1:100" x14ac:dyDescent="0.25">
      <c r="P281" s="926"/>
      <c r="CF281" s="852"/>
    </row>
    <row r="282" spans="1:100" x14ac:dyDescent="0.25">
      <c r="P282" s="926"/>
      <c r="CF282" s="852"/>
    </row>
    <row r="283" spans="1:100" x14ac:dyDescent="0.25">
      <c r="P283" s="926"/>
      <c r="CF283" s="852"/>
    </row>
    <row r="284" spans="1:100" x14ac:dyDescent="0.25">
      <c r="P284" s="926"/>
      <c r="CF284" s="852"/>
    </row>
    <row r="285" spans="1:100" x14ac:dyDescent="0.25">
      <c r="P285" s="926"/>
      <c r="CF285" s="852"/>
    </row>
    <row r="286" spans="1:100" x14ac:dyDescent="0.25">
      <c r="P286" s="926"/>
      <c r="CF286" s="852"/>
    </row>
    <row r="287" spans="1:100" x14ac:dyDescent="0.25">
      <c r="P287" s="926"/>
      <c r="CF287" s="852"/>
    </row>
    <row r="288" spans="1:100" x14ac:dyDescent="0.25">
      <c r="P288" s="926"/>
      <c r="CF288" s="852"/>
    </row>
    <row r="289" spans="16:84" x14ac:dyDescent="0.25">
      <c r="P289" s="926"/>
      <c r="CF289" s="852"/>
    </row>
    <row r="290" spans="16:84" x14ac:dyDescent="0.25">
      <c r="P290" s="926"/>
      <c r="CF290" s="852"/>
    </row>
    <row r="291" spans="16:84" x14ac:dyDescent="0.25">
      <c r="P291" s="926"/>
      <c r="CF291" s="852"/>
    </row>
    <row r="292" spans="16:84" x14ac:dyDescent="0.25">
      <c r="P292" s="926"/>
      <c r="CF292" s="852"/>
    </row>
    <row r="293" spans="16:84" x14ac:dyDescent="0.25">
      <c r="P293" s="926"/>
      <c r="CF293" s="852"/>
    </row>
    <row r="294" spans="16:84" x14ac:dyDescent="0.25">
      <c r="P294" s="926"/>
      <c r="CF294" s="852"/>
    </row>
    <row r="295" spans="16:84" x14ac:dyDescent="0.25">
      <c r="P295" s="926"/>
      <c r="CF295" s="852"/>
    </row>
    <row r="296" spans="16:84" x14ac:dyDescent="0.25">
      <c r="P296" s="926"/>
      <c r="CF296" s="852"/>
    </row>
    <row r="297" spans="16:84" x14ac:dyDescent="0.25">
      <c r="P297" s="926"/>
      <c r="CF297" s="852"/>
    </row>
    <row r="298" spans="16:84" x14ac:dyDescent="0.25">
      <c r="P298" s="926"/>
      <c r="CF298" s="852"/>
    </row>
    <row r="299" spans="16:84" x14ac:dyDescent="0.25">
      <c r="P299" s="926"/>
      <c r="CF299" s="852"/>
    </row>
    <row r="300" spans="16:84" x14ac:dyDescent="0.25">
      <c r="P300" s="926"/>
      <c r="CF300" s="852"/>
    </row>
    <row r="301" spans="16:84" x14ac:dyDescent="0.25">
      <c r="P301" s="926"/>
      <c r="CF301" s="852"/>
    </row>
    <row r="302" spans="16:84" x14ac:dyDescent="0.25">
      <c r="P302" s="926"/>
      <c r="CF302" s="852"/>
    </row>
    <row r="303" spans="16:84" x14ac:dyDescent="0.25">
      <c r="P303" s="926"/>
      <c r="CF303" s="852"/>
    </row>
    <row r="304" spans="16:84" x14ac:dyDescent="0.25">
      <c r="P304" s="926"/>
      <c r="CF304" s="852"/>
    </row>
    <row r="305" spans="16:84" x14ac:dyDescent="0.25">
      <c r="P305" s="926"/>
      <c r="CF305" s="852"/>
    </row>
    <row r="306" spans="16:84" x14ac:dyDescent="0.25">
      <c r="P306" s="926"/>
      <c r="CF306" s="852"/>
    </row>
    <row r="307" spans="16:84" x14ac:dyDescent="0.25">
      <c r="P307" s="926"/>
      <c r="CF307" s="852"/>
    </row>
    <row r="308" spans="16:84" x14ac:dyDescent="0.25">
      <c r="P308" s="926"/>
      <c r="CF308" s="852"/>
    </row>
    <row r="309" spans="16:84" x14ac:dyDescent="0.25">
      <c r="P309" s="926"/>
      <c r="CF309" s="852"/>
    </row>
    <row r="310" spans="16:84" x14ac:dyDescent="0.25">
      <c r="P310" s="926"/>
      <c r="CF310" s="852"/>
    </row>
    <row r="311" spans="16:84" x14ac:dyDescent="0.25">
      <c r="P311" s="926"/>
      <c r="CF311" s="852"/>
    </row>
    <row r="312" spans="16:84" x14ac:dyDescent="0.25">
      <c r="P312" s="926"/>
      <c r="CF312" s="852"/>
    </row>
    <row r="313" spans="16:84" x14ac:dyDescent="0.25">
      <c r="P313" s="926"/>
      <c r="CF313" s="852"/>
    </row>
    <row r="314" spans="16:84" x14ac:dyDescent="0.25">
      <c r="P314" s="926"/>
      <c r="CF314" s="852"/>
    </row>
    <row r="315" spans="16:84" x14ac:dyDescent="0.25">
      <c r="P315" s="926"/>
      <c r="CF315" s="852"/>
    </row>
    <row r="316" spans="16:84" x14ac:dyDescent="0.25">
      <c r="P316" s="926"/>
      <c r="CF316" s="852"/>
    </row>
    <row r="317" spans="16:84" x14ac:dyDescent="0.25">
      <c r="P317" s="926"/>
      <c r="CF317" s="852"/>
    </row>
    <row r="318" spans="16:84" x14ac:dyDescent="0.25">
      <c r="P318" s="926"/>
      <c r="CF318" s="852"/>
    </row>
    <row r="319" spans="16:84" x14ac:dyDescent="0.25">
      <c r="P319" s="926"/>
      <c r="CF319" s="852"/>
    </row>
    <row r="320" spans="16:84" x14ac:dyDescent="0.25">
      <c r="P320" s="926"/>
      <c r="CF320" s="852"/>
    </row>
    <row r="321" spans="16:84" x14ac:dyDescent="0.25">
      <c r="P321" s="926"/>
      <c r="CF321" s="852"/>
    </row>
    <row r="322" spans="16:84" x14ac:dyDescent="0.25">
      <c r="P322" s="926"/>
      <c r="CF322" s="852"/>
    </row>
    <row r="323" spans="16:84" x14ac:dyDescent="0.25">
      <c r="P323" s="926"/>
      <c r="CF323" s="852"/>
    </row>
    <row r="324" spans="16:84" x14ac:dyDescent="0.25">
      <c r="P324" s="926"/>
      <c r="CF324" s="852"/>
    </row>
    <row r="325" spans="16:84" x14ac:dyDescent="0.25">
      <c r="P325" s="926"/>
      <c r="CF325" s="852"/>
    </row>
    <row r="326" spans="16:84" x14ac:dyDescent="0.25">
      <c r="P326" s="926"/>
      <c r="CF326" s="852"/>
    </row>
    <row r="327" spans="16:84" x14ac:dyDescent="0.25">
      <c r="P327" s="926"/>
      <c r="CF327" s="852"/>
    </row>
    <row r="328" spans="16:84" x14ac:dyDescent="0.25">
      <c r="P328" s="926"/>
      <c r="CF328" s="852"/>
    </row>
    <row r="329" spans="16:84" x14ac:dyDescent="0.25">
      <c r="P329" s="926"/>
      <c r="CF329" s="852"/>
    </row>
    <row r="330" spans="16:84" x14ac:dyDescent="0.25">
      <c r="P330" s="926"/>
      <c r="CF330" s="852"/>
    </row>
    <row r="331" spans="16:84" x14ac:dyDescent="0.25">
      <c r="P331" s="926"/>
      <c r="CF331" s="852"/>
    </row>
    <row r="332" spans="16:84" x14ac:dyDescent="0.25">
      <c r="P332" s="926"/>
      <c r="CF332" s="852"/>
    </row>
    <row r="333" spans="16:84" x14ac:dyDescent="0.25">
      <c r="P333" s="926"/>
      <c r="CF333" s="852"/>
    </row>
    <row r="334" spans="16:84" x14ac:dyDescent="0.25">
      <c r="P334" s="926"/>
      <c r="CF334" s="852"/>
    </row>
    <row r="335" spans="16:84" x14ac:dyDescent="0.25">
      <c r="P335" s="926"/>
      <c r="CF335" s="852"/>
    </row>
    <row r="336" spans="16:84" x14ac:dyDescent="0.25">
      <c r="P336" s="926"/>
      <c r="CF336" s="852"/>
    </row>
    <row r="337" spans="16:84" x14ac:dyDescent="0.25">
      <c r="P337" s="926"/>
      <c r="CF337" s="852"/>
    </row>
    <row r="338" spans="16:84" x14ac:dyDescent="0.25">
      <c r="P338" s="926"/>
      <c r="CF338" s="852"/>
    </row>
    <row r="339" spans="16:84" x14ac:dyDescent="0.25">
      <c r="P339" s="926"/>
      <c r="CF339" s="852"/>
    </row>
    <row r="340" spans="16:84" x14ac:dyDescent="0.25">
      <c r="P340" s="926"/>
      <c r="CF340" s="852"/>
    </row>
    <row r="341" spans="16:84" x14ac:dyDescent="0.25">
      <c r="P341" s="926"/>
      <c r="CF341" s="852"/>
    </row>
    <row r="342" spans="16:84" x14ac:dyDescent="0.25">
      <c r="P342" s="926"/>
      <c r="CF342" s="852"/>
    </row>
    <row r="343" spans="16:84" x14ac:dyDescent="0.25">
      <c r="P343" s="926"/>
      <c r="CF343" s="852"/>
    </row>
    <row r="344" spans="16:84" x14ac:dyDescent="0.25">
      <c r="P344" s="926"/>
      <c r="CF344" s="852"/>
    </row>
    <row r="345" spans="16:84" x14ac:dyDescent="0.25">
      <c r="P345" s="926"/>
      <c r="CF345" s="852"/>
    </row>
    <row r="346" spans="16:84" x14ac:dyDescent="0.25">
      <c r="P346" s="926"/>
      <c r="CF346" s="852"/>
    </row>
    <row r="347" spans="16:84" x14ac:dyDescent="0.25">
      <c r="P347" s="926"/>
      <c r="CF347" s="852"/>
    </row>
    <row r="348" spans="16:84" x14ac:dyDescent="0.25">
      <c r="P348" s="926"/>
      <c r="CF348" s="852"/>
    </row>
    <row r="349" spans="16:84" x14ac:dyDescent="0.25">
      <c r="P349" s="926"/>
      <c r="CF349" s="852"/>
    </row>
    <row r="350" spans="16:84" x14ac:dyDescent="0.25">
      <c r="P350" s="926"/>
      <c r="CF350" s="852"/>
    </row>
    <row r="351" spans="16:84" x14ac:dyDescent="0.25">
      <c r="P351" s="926"/>
      <c r="CF351" s="852"/>
    </row>
    <row r="352" spans="16:84" x14ac:dyDescent="0.25">
      <c r="P352" s="926"/>
      <c r="CF352" s="852"/>
    </row>
    <row r="353" spans="16:84" x14ac:dyDescent="0.25">
      <c r="P353" s="926"/>
      <c r="CF353" s="852"/>
    </row>
    <row r="354" spans="16:84" x14ac:dyDescent="0.25">
      <c r="P354" s="926"/>
      <c r="CF354" s="852"/>
    </row>
    <row r="355" spans="16:84" x14ac:dyDescent="0.25">
      <c r="P355" s="926"/>
      <c r="CF355" s="852"/>
    </row>
    <row r="356" spans="16:84" x14ac:dyDescent="0.25">
      <c r="P356" s="926"/>
      <c r="CF356" s="852"/>
    </row>
    <row r="357" spans="16:84" x14ac:dyDescent="0.25">
      <c r="P357" s="926"/>
      <c r="CF357" s="852"/>
    </row>
    <row r="358" spans="16:84" x14ac:dyDescent="0.25">
      <c r="P358" s="926"/>
      <c r="CF358" s="852"/>
    </row>
    <row r="359" spans="16:84" x14ac:dyDescent="0.25">
      <c r="P359" s="926"/>
      <c r="CF359" s="852"/>
    </row>
    <row r="360" spans="16:84" x14ac:dyDescent="0.25">
      <c r="P360" s="926"/>
      <c r="CF360" s="852"/>
    </row>
    <row r="361" spans="16:84" x14ac:dyDescent="0.25">
      <c r="P361" s="926"/>
      <c r="CF361" s="852"/>
    </row>
    <row r="362" spans="16:84" x14ac:dyDescent="0.25">
      <c r="P362" s="926"/>
      <c r="CF362" s="852"/>
    </row>
    <row r="363" spans="16:84" x14ac:dyDescent="0.25">
      <c r="P363" s="926"/>
      <c r="CF363" s="852"/>
    </row>
    <row r="364" spans="16:84" x14ac:dyDescent="0.25">
      <c r="P364" s="926"/>
      <c r="CF364" s="852"/>
    </row>
    <row r="365" spans="16:84" x14ac:dyDescent="0.25">
      <c r="P365" s="926"/>
      <c r="CF365" s="852"/>
    </row>
    <row r="366" spans="16:84" x14ac:dyDescent="0.25">
      <c r="P366" s="926"/>
      <c r="CF366" s="852"/>
    </row>
    <row r="367" spans="16:84" x14ac:dyDescent="0.25">
      <c r="P367" s="926"/>
      <c r="CF367" s="852"/>
    </row>
    <row r="368" spans="16:84" x14ac:dyDescent="0.25">
      <c r="P368" s="926"/>
      <c r="CF368" s="852"/>
    </row>
    <row r="369" spans="16:84" x14ac:dyDescent="0.25">
      <c r="P369" s="926"/>
      <c r="CF369" s="852"/>
    </row>
    <row r="370" spans="16:84" x14ac:dyDescent="0.25">
      <c r="P370" s="926"/>
      <c r="CF370" s="852"/>
    </row>
    <row r="371" spans="16:84" x14ac:dyDescent="0.25">
      <c r="P371" s="926"/>
      <c r="CF371" s="852"/>
    </row>
    <row r="372" spans="16:84" x14ac:dyDescent="0.25">
      <c r="P372" s="926"/>
      <c r="CF372" s="852"/>
    </row>
    <row r="373" spans="16:84" x14ac:dyDescent="0.25">
      <c r="P373" s="926"/>
      <c r="CF373" s="852"/>
    </row>
    <row r="374" spans="16:84" x14ac:dyDescent="0.25">
      <c r="P374" s="926"/>
      <c r="CF374" s="852"/>
    </row>
    <row r="375" spans="16:84" x14ac:dyDescent="0.25">
      <c r="P375" s="926"/>
      <c r="CF375" s="852"/>
    </row>
    <row r="376" spans="16:84" x14ac:dyDescent="0.25">
      <c r="P376" s="926"/>
      <c r="CF376" s="852"/>
    </row>
    <row r="377" spans="16:84" x14ac:dyDescent="0.25">
      <c r="P377" s="926"/>
      <c r="CF377" s="852"/>
    </row>
    <row r="378" spans="16:84" x14ac:dyDescent="0.25">
      <c r="P378" s="926"/>
      <c r="CF378" s="852"/>
    </row>
    <row r="379" spans="16:84" x14ac:dyDescent="0.25">
      <c r="P379" s="926"/>
      <c r="CF379" s="852"/>
    </row>
    <row r="380" spans="16:84" x14ac:dyDescent="0.25">
      <c r="P380" s="926"/>
      <c r="CF380" s="852"/>
    </row>
    <row r="381" spans="16:84" x14ac:dyDescent="0.25">
      <c r="P381" s="926"/>
      <c r="CF381" s="852"/>
    </row>
    <row r="382" spans="16:84" x14ac:dyDescent="0.25">
      <c r="P382" s="926"/>
      <c r="CF382" s="852"/>
    </row>
    <row r="383" spans="16:84" x14ac:dyDescent="0.25">
      <c r="P383" s="926"/>
      <c r="CF383" s="852"/>
    </row>
    <row r="384" spans="16:84" x14ac:dyDescent="0.25">
      <c r="P384" s="926"/>
      <c r="CF384" s="852"/>
    </row>
    <row r="385" spans="16:84" x14ac:dyDescent="0.25">
      <c r="P385" s="926"/>
      <c r="CF385" s="852"/>
    </row>
    <row r="386" spans="16:84" x14ac:dyDescent="0.25">
      <c r="P386" s="926"/>
      <c r="CF386" s="852"/>
    </row>
    <row r="387" spans="16:84" x14ac:dyDescent="0.25">
      <c r="P387" s="926"/>
      <c r="CF387" s="852"/>
    </row>
    <row r="388" spans="16:84" x14ac:dyDescent="0.25">
      <c r="P388" s="926"/>
      <c r="CF388" s="852"/>
    </row>
    <row r="389" spans="16:84" x14ac:dyDescent="0.25">
      <c r="P389" s="926"/>
      <c r="CF389" s="852"/>
    </row>
    <row r="390" spans="16:84" x14ac:dyDescent="0.25">
      <c r="P390" s="926"/>
      <c r="CF390" s="852"/>
    </row>
    <row r="391" spans="16:84" x14ac:dyDescent="0.25">
      <c r="P391" s="926"/>
      <c r="CF391" s="852"/>
    </row>
    <row r="392" spans="16:84" x14ac:dyDescent="0.25">
      <c r="P392" s="926"/>
      <c r="CF392" s="852"/>
    </row>
    <row r="393" spans="16:84" x14ac:dyDescent="0.25">
      <c r="P393" s="926"/>
      <c r="CF393" s="852"/>
    </row>
    <row r="394" spans="16:84" x14ac:dyDescent="0.25">
      <c r="P394" s="926"/>
      <c r="CF394" s="852"/>
    </row>
    <row r="395" spans="16:84" x14ac:dyDescent="0.25">
      <c r="P395" s="926"/>
      <c r="CF395" s="852"/>
    </row>
    <row r="396" spans="16:84" x14ac:dyDescent="0.25">
      <c r="P396" s="926"/>
      <c r="CF396" s="852"/>
    </row>
    <row r="397" spans="16:84" x14ac:dyDescent="0.25">
      <c r="P397" s="926"/>
      <c r="CF397" s="852"/>
    </row>
    <row r="398" spans="16:84" x14ac:dyDescent="0.25">
      <c r="P398" s="926"/>
      <c r="CF398" s="852"/>
    </row>
    <row r="399" spans="16:84" x14ac:dyDescent="0.25">
      <c r="P399" s="926"/>
      <c r="CF399" s="852"/>
    </row>
    <row r="400" spans="16:84" x14ac:dyDescent="0.25">
      <c r="P400" s="926"/>
      <c r="CF400" s="852"/>
    </row>
    <row r="401" spans="16:84" x14ac:dyDescent="0.25">
      <c r="P401" s="926"/>
      <c r="CF401" s="852"/>
    </row>
    <row r="402" spans="16:84" x14ac:dyDescent="0.25">
      <c r="P402" s="926"/>
      <c r="CF402" s="852"/>
    </row>
    <row r="403" spans="16:84" x14ac:dyDescent="0.25">
      <c r="P403" s="926"/>
      <c r="CF403" s="852"/>
    </row>
    <row r="404" spans="16:84" x14ac:dyDescent="0.25">
      <c r="P404" s="926"/>
      <c r="CF404" s="852"/>
    </row>
    <row r="405" spans="16:84" x14ac:dyDescent="0.25">
      <c r="P405" s="926"/>
      <c r="CF405" s="852"/>
    </row>
    <row r="406" spans="16:84" x14ac:dyDescent="0.25">
      <c r="P406" s="926"/>
      <c r="CF406" s="852"/>
    </row>
    <row r="407" spans="16:84" x14ac:dyDescent="0.25">
      <c r="P407" s="926"/>
      <c r="CF407" s="852"/>
    </row>
    <row r="408" spans="16:84" x14ac:dyDescent="0.25">
      <c r="P408" s="926"/>
      <c r="CF408" s="852"/>
    </row>
    <row r="409" spans="16:84" x14ac:dyDescent="0.25">
      <c r="P409" s="926"/>
      <c r="CF409" s="852"/>
    </row>
    <row r="410" spans="16:84" x14ac:dyDescent="0.25">
      <c r="P410" s="926"/>
      <c r="CF410" s="852"/>
    </row>
    <row r="411" spans="16:84" x14ac:dyDescent="0.25">
      <c r="P411" s="926"/>
      <c r="CF411" s="852"/>
    </row>
    <row r="412" spans="16:84" x14ac:dyDescent="0.25">
      <c r="P412" s="926"/>
      <c r="CF412" s="852"/>
    </row>
    <row r="413" spans="16:84" x14ac:dyDescent="0.25">
      <c r="P413" s="926"/>
      <c r="CF413" s="852"/>
    </row>
    <row r="414" spans="16:84" x14ac:dyDescent="0.25">
      <c r="P414" s="926"/>
      <c r="CF414" s="852"/>
    </row>
    <row r="415" spans="16:84" x14ac:dyDescent="0.25">
      <c r="P415" s="926"/>
      <c r="CF415" s="852"/>
    </row>
    <row r="416" spans="16:84" x14ac:dyDescent="0.25">
      <c r="P416" s="926"/>
      <c r="CF416" s="852"/>
    </row>
    <row r="417" spans="16:84" x14ac:dyDescent="0.25">
      <c r="P417" s="926"/>
      <c r="CF417" s="852"/>
    </row>
    <row r="418" spans="16:84" x14ac:dyDescent="0.25">
      <c r="P418" s="926"/>
      <c r="CF418" s="852"/>
    </row>
    <row r="419" spans="16:84" x14ac:dyDescent="0.25">
      <c r="P419" s="926"/>
      <c r="CF419" s="852"/>
    </row>
    <row r="420" spans="16:84" x14ac:dyDescent="0.25">
      <c r="P420" s="926"/>
      <c r="CF420" s="852"/>
    </row>
    <row r="421" spans="16:84" x14ac:dyDescent="0.25">
      <c r="P421" s="926"/>
      <c r="CF421" s="852"/>
    </row>
    <row r="422" spans="16:84" x14ac:dyDescent="0.25">
      <c r="P422" s="926"/>
      <c r="CF422" s="852"/>
    </row>
    <row r="423" spans="16:84" x14ac:dyDescent="0.25">
      <c r="P423" s="926"/>
      <c r="CF423" s="852"/>
    </row>
    <row r="424" spans="16:84" x14ac:dyDescent="0.25">
      <c r="P424" s="926"/>
      <c r="CF424" s="852"/>
    </row>
    <row r="425" spans="16:84" x14ac:dyDescent="0.25">
      <c r="P425" s="926"/>
      <c r="CF425" s="852"/>
    </row>
    <row r="426" spans="16:84" x14ac:dyDescent="0.25">
      <c r="P426" s="926"/>
      <c r="CF426" s="852"/>
    </row>
    <row r="427" spans="16:84" x14ac:dyDescent="0.25">
      <c r="P427" s="926"/>
    </row>
    <row r="428" spans="16:84" x14ac:dyDescent="0.25">
      <c r="P428" s="926"/>
    </row>
    <row r="429" spans="16:84" x14ac:dyDescent="0.25">
      <c r="P429" s="926"/>
    </row>
    <row r="430" spans="16:84" x14ac:dyDescent="0.25">
      <c r="P430" s="926"/>
    </row>
    <row r="431" spans="16:84" x14ac:dyDescent="0.25">
      <c r="P431" s="926"/>
    </row>
    <row r="432" spans="16:84" x14ac:dyDescent="0.25">
      <c r="P432" s="926"/>
    </row>
    <row r="433" spans="16:16" x14ac:dyDescent="0.25">
      <c r="P433" s="926"/>
    </row>
    <row r="434" spans="16:16" x14ac:dyDescent="0.25">
      <c r="P434" s="926"/>
    </row>
    <row r="435" spans="16:16" x14ac:dyDescent="0.25">
      <c r="P435" s="926"/>
    </row>
    <row r="436" spans="16:16" x14ac:dyDescent="0.25">
      <c r="P436" s="926"/>
    </row>
    <row r="437" spans="16:16" x14ac:dyDescent="0.25">
      <c r="P437" s="926"/>
    </row>
    <row r="438" spans="16:16" x14ac:dyDescent="0.25">
      <c r="P438" s="926"/>
    </row>
    <row r="439" spans="16:16" x14ac:dyDescent="0.25">
      <c r="P439" s="926"/>
    </row>
    <row r="440" spans="16:16" x14ac:dyDescent="0.25">
      <c r="P440" s="926"/>
    </row>
    <row r="441" spans="16:16" x14ac:dyDescent="0.25">
      <c r="P441" s="926"/>
    </row>
    <row r="442" spans="16:16" x14ac:dyDescent="0.25">
      <c r="P442" s="926"/>
    </row>
    <row r="443" spans="16:16" x14ac:dyDescent="0.25">
      <c r="P443" s="926"/>
    </row>
    <row r="444" spans="16:16" x14ac:dyDescent="0.25">
      <c r="P444" s="926"/>
    </row>
    <row r="445" spans="16:16" x14ac:dyDescent="0.25">
      <c r="P445" s="926"/>
    </row>
    <row r="446" spans="16:16" x14ac:dyDescent="0.25">
      <c r="P446" s="926"/>
    </row>
    <row r="447" spans="16:16" x14ac:dyDescent="0.25">
      <c r="P447" s="926"/>
    </row>
    <row r="448" spans="16:16" x14ac:dyDescent="0.25">
      <c r="P448" s="926"/>
    </row>
    <row r="449" spans="16:16" x14ac:dyDescent="0.25">
      <c r="P449" s="926"/>
    </row>
    <row r="450" spans="16:16" x14ac:dyDescent="0.25">
      <c r="P450" s="926"/>
    </row>
    <row r="451" spans="16:16" x14ac:dyDescent="0.25">
      <c r="P451" s="926"/>
    </row>
    <row r="452" spans="16:16" x14ac:dyDescent="0.25">
      <c r="P452" s="926"/>
    </row>
    <row r="453" spans="16:16" x14ac:dyDescent="0.25">
      <c r="P453" s="926"/>
    </row>
    <row r="454" spans="16:16" x14ac:dyDescent="0.25">
      <c r="P454" s="926"/>
    </row>
    <row r="455" spans="16:16" x14ac:dyDescent="0.25">
      <c r="P455" s="926"/>
    </row>
    <row r="456" spans="16:16" x14ac:dyDescent="0.25">
      <c r="P456" s="926"/>
    </row>
    <row r="457" spans="16:16" x14ac:dyDescent="0.25">
      <c r="P457" s="926"/>
    </row>
    <row r="458" spans="16:16" x14ac:dyDescent="0.25">
      <c r="P458" s="926"/>
    </row>
    <row r="459" spans="16:16" x14ac:dyDescent="0.25">
      <c r="P459" s="926"/>
    </row>
    <row r="460" spans="16:16" x14ac:dyDescent="0.25">
      <c r="P460" s="926"/>
    </row>
    <row r="461" spans="16:16" x14ac:dyDescent="0.25">
      <c r="P461" s="926"/>
    </row>
    <row r="462" spans="16:16" x14ac:dyDescent="0.25">
      <c r="P462" s="926"/>
    </row>
    <row r="463" spans="16:16" x14ac:dyDescent="0.25">
      <c r="P463" s="926"/>
    </row>
    <row r="464" spans="16:16" x14ac:dyDescent="0.25">
      <c r="P464" s="926"/>
    </row>
    <row r="465" spans="16:16" x14ac:dyDescent="0.25">
      <c r="P465" s="926"/>
    </row>
    <row r="466" spans="16:16" x14ac:dyDescent="0.25">
      <c r="P466" s="926"/>
    </row>
    <row r="467" spans="16:16" x14ac:dyDescent="0.25">
      <c r="P467" s="926"/>
    </row>
    <row r="468" spans="16:16" x14ac:dyDescent="0.25">
      <c r="P468" s="926"/>
    </row>
    <row r="469" spans="16:16" x14ac:dyDescent="0.25">
      <c r="P469" s="926"/>
    </row>
    <row r="470" spans="16:16" x14ac:dyDescent="0.25">
      <c r="P470" s="926"/>
    </row>
    <row r="471" spans="16:16" x14ac:dyDescent="0.25">
      <c r="P471" s="926"/>
    </row>
    <row r="472" spans="16:16" x14ac:dyDescent="0.25">
      <c r="P472" s="926"/>
    </row>
    <row r="473" spans="16:16" x14ac:dyDescent="0.25">
      <c r="P473" s="926"/>
    </row>
    <row r="474" spans="16:16" x14ac:dyDescent="0.25">
      <c r="P474" s="926"/>
    </row>
    <row r="475" spans="16:16" x14ac:dyDescent="0.25">
      <c r="P475" s="926"/>
    </row>
    <row r="476" spans="16:16" x14ac:dyDescent="0.25">
      <c r="P476" s="926"/>
    </row>
    <row r="477" spans="16:16" x14ac:dyDescent="0.25">
      <c r="P477" s="926"/>
    </row>
    <row r="478" spans="16:16" x14ac:dyDescent="0.25">
      <c r="P478" s="926"/>
    </row>
    <row r="479" spans="16:16" x14ac:dyDescent="0.25">
      <c r="P479" s="926"/>
    </row>
    <row r="480" spans="16:16" x14ac:dyDescent="0.25">
      <c r="P480" s="926"/>
    </row>
    <row r="481" spans="16:16" x14ac:dyDescent="0.25">
      <c r="P481" s="926"/>
    </row>
    <row r="482" spans="16:16" x14ac:dyDescent="0.25">
      <c r="P482" s="926"/>
    </row>
    <row r="483" spans="16:16" x14ac:dyDescent="0.25">
      <c r="P483" s="926"/>
    </row>
    <row r="484" spans="16:16" x14ac:dyDescent="0.25">
      <c r="P484" s="926"/>
    </row>
    <row r="485" spans="16:16" x14ac:dyDescent="0.25">
      <c r="P485" s="926"/>
    </row>
    <row r="486" spans="16:16" x14ac:dyDescent="0.25">
      <c r="P486" s="926"/>
    </row>
    <row r="487" spans="16:16" x14ac:dyDescent="0.25">
      <c r="P487" s="926"/>
    </row>
    <row r="488" spans="16:16" x14ac:dyDescent="0.25">
      <c r="P488" s="926"/>
    </row>
    <row r="489" spans="16:16" x14ac:dyDescent="0.25">
      <c r="P489" s="926"/>
    </row>
    <row r="490" spans="16:16" x14ac:dyDescent="0.25">
      <c r="P490" s="926"/>
    </row>
    <row r="491" spans="16:16" x14ac:dyDescent="0.25">
      <c r="P491" s="926"/>
    </row>
    <row r="492" spans="16:16" x14ac:dyDescent="0.25">
      <c r="P492" s="926"/>
    </row>
    <row r="493" spans="16:16" x14ac:dyDescent="0.25">
      <c r="P493" s="926"/>
    </row>
    <row r="494" spans="16:16" x14ac:dyDescent="0.25">
      <c r="P494" s="926"/>
    </row>
    <row r="495" spans="16:16" x14ac:dyDescent="0.25">
      <c r="P495" s="926"/>
    </row>
    <row r="496" spans="16:16" x14ac:dyDescent="0.25">
      <c r="P496" s="926"/>
    </row>
    <row r="497" spans="16:16" x14ac:dyDescent="0.25">
      <c r="P497" s="926"/>
    </row>
    <row r="498" spans="16:16" x14ac:dyDescent="0.25">
      <c r="P498" s="926"/>
    </row>
    <row r="499" spans="16:16" x14ac:dyDescent="0.25">
      <c r="P499" s="926"/>
    </row>
    <row r="500" spans="16:16" x14ac:dyDescent="0.25">
      <c r="P500" s="926"/>
    </row>
    <row r="501" spans="16:16" x14ac:dyDescent="0.25">
      <c r="P501" s="926"/>
    </row>
    <row r="502" spans="16:16" x14ac:dyDescent="0.25">
      <c r="P502" s="926"/>
    </row>
    <row r="503" spans="16:16" x14ac:dyDescent="0.25">
      <c r="P503" s="926"/>
    </row>
    <row r="504" spans="16:16" x14ac:dyDescent="0.25">
      <c r="P504" s="926"/>
    </row>
    <row r="505" spans="16:16" x14ac:dyDescent="0.25">
      <c r="P505" s="926"/>
    </row>
    <row r="506" spans="16:16" x14ac:dyDescent="0.25">
      <c r="P506" s="926"/>
    </row>
    <row r="507" spans="16:16" x14ac:dyDescent="0.25">
      <c r="P507" s="926"/>
    </row>
    <row r="508" spans="16:16" x14ac:dyDescent="0.25">
      <c r="P508" s="926"/>
    </row>
    <row r="509" spans="16:16" x14ac:dyDescent="0.25">
      <c r="P509" s="926"/>
    </row>
    <row r="510" spans="16:16" x14ac:dyDescent="0.25">
      <c r="P510" s="926"/>
    </row>
    <row r="511" spans="16:16" x14ac:dyDescent="0.25">
      <c r="P511" s="926"/>
    </row>
    <row r="512" spans="16:16" x14ac:dyDescent="0.25">
      <c r="P512" s="926"/>
    </row>
    <row r="513" spans="16:16" x14ac:dyDescent="0.25">
      <c r="P513" s="926"/>
    </row>
    <row r="514" spans="16:16" x14ac:dyDescent="0.25">
      <c r="P514" s="926"/>
    </row>
    <row r="515" spans="16:16" x14ac:dyDescent="0.25">
      <c r="P515" s="926"/>
    </row>
    <row r="516" spans="16:16" x14ac:dyDescent="0.25">
      <c r="P516" s="926"/>
    </row>
    <row r="517" spans="16:16" x14ac:dyDescent="0.25">
      <c r="P517" s="926"/>
    </row>
    <row r="518" spans="16:16" x14ac:dyDescent="0.25">
      <c r="P518" s="926"/>
    </row>
    <row r="519" spans="16:16" x14ac:dyDescent="0.25">
      <c r="P519" s="926"/>
    </row>
    <row r="520" spans="16:16" x14ac:dyDescent="0.25">
      <c r="P520" s="926"/>
    </row>
    <row r="521" spans="16:16" x14ac:dyDescent="0.25">
      <c r="P521" s="926"/>
    </row>
    <row r="522" spans="16:16" x14ac:dyDescent="0.25">
      <c r="P522" s="926"/>
    </row>
    <row r="523" spans="16:16" x14ac:dyDescent="0.25">
      <c r="P523" s="926"/>
    </row>
    <row r="524" spans="16:16" x14ac:dyDescent="0.25">
      <c r="P524" s="926"/>
    </row>
    <row r="525" spans="16:16" x14ac:dyDescent="0.25">
      <c r="P525" s="926"/>
    </row>
    <row r="526" spans="16:16" x14ac:dyDescent="0.25">
      <c r="P526" s="926"/>
    </row>
    <row r="527" spans="16:16" x14ac:dyDescent="0.25">
      <c r="P527" s="926"/>
    </row>
    <row r="528" spans="16:16" x14ac:dyDescent="0.25">
      <c r="P528" s="926"/>
    </row>
    <row r="529" spans="16:16" x14ac:dyDescent="0.25">
      <c r="P529" s="926"/>
    </row>
    <row r="530" spans="16:16" x14ac:dyDescent="0.25">
      <c r="P530" s="926"/>
    </row>
    <row r="531" spans="16:16" x14ac:dyDescent="0.25">
      <c r="P531" s="926"/>
    </row>
    <row r="532" spans="16:16" x14ac:dyDescent="0.25">
      <c r="P532" s="926"/>
    </row>
    <row r="533" spans="16:16" x14ac:dyDescent="0.25">
      <c r="P533" s="926"/>
    </row>
    <row r="534" spans="16:16" x14ac:dyDescent="0.25">
      <c r="P534" s="926"/>
    </row>
    <row r="535" spans="16:16" x14ac:dyDescent="0.25">
      <c r="P535" s="926"/>
    </row>
    <row r="536" spans="16:16" x14ac:dyDescent="0.25">
      <c r="P536" s="926"/>
    </row>
    <row r="537" spans="16:16" x14ac:dyDescent="0.25">
      <c r="P537" s="926"/>
    </row>
    <row r="538" spans="16:16" x14ac:dyDescent="0.25">
      <c r="P538" s="926"/>
    </row>
    <row r="539" spans="16:16" x14ac:dyDescent="0.25">
      <c r="P539" s="926"/>
    </row>
    <row r="540" spans="16:16" x14ac:dyDescent="0.25">
      <c r="P540" s="926"/>
    </row>
    <row r="541" spans="16:16" x14ac:dyDescent="0.25">
      <c r="P541" s="926"/>
    </row>
    <row r="542" spans="16:16" x14ac:dyDescent="0.25">
      <c r="P542" s="926"/>
    </row>
    <row r="543" spans="16:16" x14ac:dyDescent="0.25">
      <c r="P543" s="926"/>
    </row>
    <row r="544" spans="16:16" x14ac:dyDescent="0.25">
      <c r="P544" s="926"/>
    </row>
    <row r="545" spans="16:16" x14ac:dyDescent="0.25">
      <c r="P545" s="926"/>
    </row>
    <row r="546" spans="16:16" x14ac:dyDescent="0.25">
      <c r="P546" s="926"/>
    </row>
    <row r="547" spans="16:16" x14ac:dyDescent="0.25">
      <c r="P547" s="926"/>
    </row>
    <row r="548" spans="16:16" x14ac:dyDescent="0.25">
      <c r="P548" s="926"/>
    </row>
    <row r="549" spans="16:16" x14ac:dyDescent="0.25">
      <c r="P549" s="926"/>
    </row>
    <row r="550" spans="16:16" x14ac:dyDescent="0.25">
      <c r="P550" s="926"/>
    </row>
    <row r="551" spans="16:16" x14ac:dyDescent="0.25">
      <c r="P551" s="926"/>
    </row>
    <row r="552" spans="16:16" x14ac:dyDescent="0.25">
      <c r="P552" s="926"/>
    </row>
    <row r="553" spans="16:16" x14ac:dyDescent="0.25">
      <c r="P553" s="926"/>
    </row>
    <row r="554" spans="16:16" x14ac:dyDescent="0.25">
      <c r="P554" s="926"/>
    </row>
    <row r="555" spans="16:16" x14ac:dyDescent="0.25">
      <c r="P555" s="926"/>
    </row>
    <row r="556" spans="16:16" x14ac:dyDescent="0.25">
      <c r="P556" s="926"/>
    </row>
    <row r="557" spans="16:16" x14ac:dyDescent="0.25">
      <c r="P557" s="926"/>
    </row>
    <row r="558" spans="16:16" x14ac:dyDescent="0.25">
      <c r="P558" s="926"/>
    </row>
    <row r="559" spans="16:16" x14ac:dyDescent="0.25">
      <c r="P559" s="926"/>
    </row>
    <row r="560" spans="16:16" x14ac:dyDescent="0.25">
      <c r="P560" s="926"/>
    </row>
    <row r="561" spans="16:16" x14ac:dyDescent="0.25">
      <c r="P561" s="926"/>
    </row>
    <row r="562" spans="16:16" x14ac:dyDescent="0.25">
      <c r="P562" s="926"/>
    </row>
    <row r="563" spans="16:16" x14ac:dyDescent="0.25">
      <c r="P563" s="926"/>
    </row>
    <row r="564" spans="16:16" x14ac:dyDescent="0.25">
      <c r="P564" s="926"/>
    </row>
    <row r="565" spans="16:16" x14ac:dyDescent="0.25">
      <c r="P565" s="926"/>
    </row>
    <row r="566" spans="16:16" x14ac:dyDescent="0.25">
      <c r="P566" s="926"/>
    </row>
    <row r="567" spans="16:16" x14ac:dyDescent="0.25">
      <c r="P567" s="926"/>
    </row>
    <row r="568" spans="16:16" x14ac:dyDescent="0.25">
      <c r="P568" s="926"/>
    </row>
    <row r="569" spans="16:16" x14ac:dyDescent="0.25">
      <c r="P569" s="926"/>
    </row>
    <row r="570" spans="16:16" x14ac:dyDescent="0.25">
      <c r="P570" s="926"/>
    </row>
    <row r="571" spans="16:16" x14ac:dyDescent="0.25">
      <c r="P571" s="926"/>
    </row>
    <row r="572" spans="16:16" x14ac:dyDescent="0.25">
      <c r="P572" s="926"/>
    </row>
    <row r="573" spans="16:16" x14ac:dyDescent="0.25">
      <c r="P573" s="926"/>
    </row>
    <row r="574" spans="16:16" x14ac:dyDescent="0.25">
      <c r="P574" s="926"/>
    </row>
    <row r="575" spans="16:16" x14ac:dyDescent="0.25">
      <c r="P575" s="926"/>
    </row>
    <row r="576" spans="16:16" x14ac:dyDescent="0.25">
      <c r="P576" s="926"/>
    </row>
    <row r="577" spans="16:16" x14ac:dyDescent="0.25">
      <c r="P577" s="926"/>
    </row>
    <row r="578" spans="16:16" x14ac:dyDescent="0.25">
      <c r="P578" s="926"/>
    </row>
    <row r="579" spans="16:16" x14ac:dyDescent="0.25">
      <c r="P579" s="926"/>
    </row>
    <row r="580" spans="16:16" x14ac:dyDescent="0.25">
      <c r="P580" s="926"/>
    </row>
    <row r="581" spans="16:16" x14ac:dyDescent="0.25">
      <c r="P581" s="926"/>
    </row>
    <row r="582" spans="16:16" x14ac:dyDescent="0.25">
      <c r="P582" s="926"/>
    </row>
    <row r="583" spans="16:16" x14ac:dyDescent="0.25">
      <c r="P583" s="926"/>
    </row>
    <row r="584" spans="16:16" x14ac:dyDescent="0.25">
      <c r="P584" s="926"/>
    </row>
    <row r="585" spans="16:16" x14ac:dyDescent="0.25">
      <c r="P585" s="926"/>
    </row>
    <row r="586" spans="16:16" x14ac:dyDescent="0.25">
      <c r="P586" s="926"/>
    </row>
    <row r="587" spans="16:16" x14ac:dyDescent="0.25">
      <c r="P587" s="926"/>
    </row>
    <row r="588" spans="16:16" x14ac:dyDescent="0.25">
      <c r="P588" s="926"/>
    </row>
    <row r="589" spans="16:16" x14ac:dyDescent="0.25">
      <c r="P589" s="926"/>
    </row>
    <row r="590" spans="16:16" x14ac:dyDescent="0.25">
      <c r="P590" s="926"/>
    </row>
    <row r="591" spans="16:16" x14ac:dyDescent="0.25">
      <c r="P591" s="926"/>
    </row>
    <row r="592" spans="16:16" x14ac:dyDescent="0.25">
      <c r="P592" s="926"/>
    </row>
    <row r="593" spans="16:16" x14ac:dyDescent="0.25">
      <c r="P593" s="926"/>
    </row>
    <row r="594" spans="16:16" x14ac:dyDescent="0.25">
      <c r="P594" s="926"/>
    </row>
    <row r="595" spans="16:16" x14ac:dyDescent="0.25">
      <c r="P595" s="926"/>
    </row>
    <row r="596" spans="16:16" x14ac:dyDescent="0.25">
      <c r="P596" s="926"/>
    </row>
    <row r="597" spans="16:16" x14ac:dyDescent="0.25">
      <c r="P597" s="926"/>
    </row>
    <row r="598" spans="16:16" x14ac:dyDescent="0.25">
      <c r="P598" s="926"/>
    </row>
    <row r="599" spans="16:16" x14ac:dyDescent="0.25">
      <c r="P599" s="926"/>
    </row>
    <row r="600" spans="16:16" x14ac:dyDescent="0.25">
      <c r="P600" s="926"/>
    </row>
    <row r="601" spans="16:16" x14ac:dyDescent="0.25">
      <c r="P601" s="926"/>
    </row>
    <row r="602" spans="16:16" x14ac:dyDescent="0.25">
      <c r="P602" s="926"/>
    </row>
    <row r="603" spans="16:16" x14ac:dyDescent="0.25">
      <c r="P603" s="926"/>
    </row>
    <row r="604" spans="16:16" x14ac:dyDescent="0.25">
      <c r="P604" s="926"/>
    </row>
    <row r="605" spans="16:16" x14ac:dyDescent="0.25">
      <c r="P605" s="926"/>
    </row>
    <row r="606" spans="16:16" x14ac:dyDescent="0.25">
      <c r="P606" s="926"/>
    </row>
    <row r="607" spans="16:16" x14ac:dyDescent="0.25">
      <c r="P607" s="926"/>
    </row>
    <row r="608" spans="16:16" x14ac:dyDescent="0.25">
      <c r="P608" s="926"/>
    </row>
    <row r="609" spans="16:16" x14ac:dyDescent="0.25">
      <c r="P609" s="926"/>
    </row>
    <row r="610" spans="16:16" x14ac:dyDescent="0.25">
      <c r="P610" s="926"/>
    </row>
    <row r="611" spans="16:16" x14ac:dyDescent="0.25">
      <c r="P611" s="926"/>
    </row>
    <row r="612" spans="16:16" x14ac:dyDescent="0.25">
      <c r="P612" s="926"/>
    </row>
    <row r="613" spans="16:16" x14ac:dyDescent="0.25">
      <c r="P613" s="926"/>
    </row>
    <row r="614" spans="16:16" x14ac:dyDescent="0.25">
      <c r="P614" s="926"/>
    </row>
    <row r="615" spans="16:16" x14ac:dyDescent="0.25">
      <c r="P615" s="926"/>
    </row>
    <row r="616" spans="16:16" x14ac:dyDescent="0.25">
      <c r="P616" s="926"/>
    </row>
    <row r="617" spans="16:16" x14ac:dyDescent="0.25">
      <c r="P617" s="926"/>
    </row>
    <row r="618" spans="16:16" x14ac:dyDescent="0.25">
      <c r="P618" s="926"/>
    </row>
    <row r="619" spans="16:16" x14ac:dyDescent="0.25">
      <c r="P619" s="926"/>
    </row>
    <row r="620" spans="16:16" x14ac:dyDescent="0.25">
      <c r="P620" s="926"/>
    </row>
    <row r="621" spans="16:16" x14ac:dyDescent="0.25">
      <c r="P621" s="926"/>
    </row>
    <row r="622" spans="16:16" x14ac:dyDescent="0.25">
      <c r="P622" s="926"/>
    </row>
    <row r="623" spans="16:16" x14ac:dyDescent="0.25">
      <c r="P623" s="926"/>
    </row>
    <row r="624" spans="16:16" x14ac:dyDescent="0.25">
      <c r="P624" s="926"/>
    </row>
    <row r="625" spans="16:16" x14ac:dyDescent="0.25">
      <c r="P625" s="926"/>
    </row>
    <row r="626" spans="16:16" x14ac:dyDescent="0.25">
      <c r="P626" s="926"/>
    </row>
    <row r="627" spans="16:16" x14ac:dyDescent="0.25">
      <c r="P627" s="926"/>
    </row>
    <row r="628" spans="16:16" x14ac:dyDescent="0.25">
      <c r="P628" s="926"/>
    </row>
    <row r="629" spans="16:16" x14ac:dyDescent="0.25">
      <c r="P629" s="926"/>
    </row>
    <row r="630" spans="16:16" x14ac:dyDescent="0.25">
      <c r="P630" s="926"/>
    </row>
    <row r="631" spans="16:16" x14ac:dyDescent="0.25">
      <c r="P631" s="926"/>
    </row>
    <row r="632" spans="16:16" x14ac:dyDescent="0.25">
      <c r="P632" s="926"/>
    </row>
    <row r="633" spans="16:16" x14ac:dyDescent="0.25">
      <c r="P633" s="926"/>
    </row>
    <row r="634" spans="16:16" x14ac:dyDescent="0.25">
      <c r="P634" s="926"/>
    </row>
    <row r="635" spans="16:16" x14ac:dyDescent="0.25">
      <c r="P635" s="926"/>
    </row>
    <row r="636" spans="16:16" x14ac:dyDescent="0.25">
      <c r="P636" s="926"/>
    </row>
    <row r="637" spans="16:16" x14ac:dyDescent="0.25">
      <c r="P637" s="926"/>
    </row>
    <row r="638" spans="16:16" x14ac:dyDescent="0.25">
      <c r="P638" s="926"/>
    </row>
    <row r="639" spans="16:16" x14ac:dyDescent="0.25">
      <c r="P639" s="926"/>
    </row>
    <row r="640" spans="16:16" x14ac:dyDescent="0.25">
      <c r="P640" s="926"/>
    </row>
    <row r="641" spans="16:16" x14ac:dyDescent="0.25">
      <c r="P641" s="926"/>
    </row>
    <row r="642" spans="16:16" x14ac:dyDescent="0.25">
      <c r="P642" s="926"/>
    </row>
    <row r="643" spans="16:16" x14ac:dyDescent="0.25">
      <c r="P643" s="926"/>
    </row>
    <row r="644" spans="16:16" x14ac:dyDescent="0.25">
      <c r="P644" s="926"/>
    </row>
    <row r="645" spans="16:16" x14ac:dyDescent="0.25">
      <c r="P645" s="926"/>
    </row>
    <row r="646" spans="16:16" x14ac:dyDescent="0.25">
      <c r="P646" s="926"/>
    </row>
    <row r="647" spans="16:16" x14ac:dyDescent="0.25">
      <c r="P647" s="926"/>
    </row>
    <row r="648" spans="16:16" x14ac:dyDescent="0.25">
      <c r="P648" s="926"/>
    </row>
    <row r="649" spans="16:16" x14ac:dyDescent="0.25">
      <c r="P649" s="926"/>
    </row>
    <row r="650" spans="16:16" x14ac:dyDescent="0.25">
      <c r="P650" s="926"/>
    </row>
    <row r="651" spans="16:16" x14ac:dyDescent="0.25">
      <c r="P651" s="926"/>
    </row>
    <row r="652" spans="16:16" x14ac:dyDescent="0.25">
      <c r="P652" s="926"/>
    </row>
    <row r="653" spans="16:16" x14ac:dyDescent="0.25">
      <c r="P653" s="926"/>
    </row>
    <row r="654" spans="16:16" x14ac:dyDescent="0.25">
      <c r="P654" s="926"/>
    </row>
    <row r="655" spans="16:16" x14ac:dyDescent="0.25">
      <c r="P655" s="926"/>
    </row>
    <row r="656" spans="16:16" x14ac:dyDescent="0.25">
      <c r="P656" s="926"/>
    </row>
    <row r="657" spans="16:16" x14ac:dyDescent="0.25">
      <c r="P657" s="926"/>
    </row>
    <row r="658" spans="16:16" x14ac:dyDescent="0.25">
      <c r="P658" s="926"/>
    </row>
    <row r="659" spans="16:16" x14ac:dyDescent="0.25">
      <c r="P659" s="926"/>
    </row>
    <row r="660" spans="16:16" x14ac:dyDescent="0.25">
      <c r="P660" s="926"/>
    </row>
    <row r="661" spans="16:16" x14ac:dyDescent="0.25">
      <c r="P661" s="926"/>
    </row>
    <row r="662" spans="16:16" x14ac:dyDescent="0.25">
      <c r="P662" s="926"/>
    </row>
    <row r="663" spans="16:16" x14ac:dyDescent="0.25">
      <c r="P663" s="926"/>
    </row>
    <row r="664" spans="16:16" x14ac:dyDescent="0.25">
      <c r="P664" s="926"/>
    </row>
    <row r="665" spans="16:16" x14ac:dyDescent="0.25">
      <c r="P665" s="926"/>
    </row>
    <row r="666" spans="16:16" x14ac:dyDescent="0.25">
      <c r="P666" s="926"/>
    </row>
    <row r="667" spans="16:16" x14ac:dyDescent="0.25">
      <c r="P667" s="926"/>
    </row>
    <row r="668" spans="16:16" x14ac:dyDescent="0.25">
      <c r="P668" s="926"/>
    </row>
    <row r="669" spans="16:16" x14ac:dyDescent="0.25">
      <c r="P669" s="926"/>
    </row>
    <row r="670" spans="16:16" x14ac:dyDescent="0.25">
      <c r="P670" s="926"/>
    </row>
    <row r="671" spans="16:16" x14ac:dyDescent="0.25">
      <c r="P671" s="926"/>
    </row>
    <row r="672" spans="16:16" x14ac:dyDescent="0.25">
      <c r="P672" s="926"/>
    </row>
    <row r="673" spans="16:16" x14ac:dyDescent="0.25">
      <c r="P673" s="926"/>
    </row>
    <row r="674" spans="16:16" x14ac:dyDescent="0.25">
      <c r="P674" s="926"/>
    </row>
    <row r="675" spans="16:16" x14ac:dyDescent="0.25">
      <c r="P675" s="926"/>
    </row>
    <row r="676" spans="16:16" x14ac:dyDescent="0.25">
      <c r="P676" s="926"/>
    </row>
    <row r="677" spans="16:16" x14ac:dyDescent="0.25">
      <c r="P677" s="926"/>
    </row>
    <row r="678" spans="16:16" x14ac:dyDescent="0.25">
      <c r="P678" s="926"/>
    </row>
    <row r="679" spans="16:16" x14ac:dyDescent="0.25">
      <c r="P679" s="926"/>
    </row>
    <row r="680" spans="16:16" x14ac:dyDescent="0.25">
      <c r="P680" s="926"/>
    </row>
    <row r="681" spans="16:16" x14ac:dyDescent="0.25">
      <c r="P681" s="926"/>
    </row>
    <row r="682" spans="16:16" x14ac:dyDescent="0.25">
      <c r="P682" s="926"/>
    </row>
    <row r="683" spans="16:16" x14ac:dyDescent="0.25">
      <c r="P683" s="926"/>
    </row>
    <row r="684" spans="16:16" x14ac:dyDescent="0.25">
      <c r="P684" s="926"/>
    </row>
    <row r="685" spans="16:16" x14ac:dyDescent="0.25">
      <c r="P685" s="926"/>
    </row>
    <row r="686" spans="16:16" x14ac:dyDescent="0.25">
      <c r="P686" s="926"/>
    </row>
    <row r="687" spans="16:16" x14ac:dyDescent="0.25">
      <c r="P687" s="926"/>
    </row>
    <row r="688" spans="16:16" x14ac:dyDescent="0.25">
      <c r="P688" s="926"/>
    </row>
    <row r="689" spans="16:16" x14ac:dyDescent="0.25">
      <c r="P689" s="926"/>
    </row>
    <row r="690" spans="16:16" x14ac:dyDescent="0.25">
      <c r="P690" s="926"/>
    </row>
    <row r="691" spans="16:16" x14ac:dyDescent="0.25">
      <c r="P691" s="926"/>
    </row>
    <row r="692" spans="16:16" x14ac:dyDescent="0.25">
      <c r="P692" s="926"/>
    </row>
    <row r="693" spans="16:16" x14ac:dyDescent="0.25">
      <c r="P693" s="926"/>
    </row>
    <row r="694" spans="16:16" x14ac:dyDescent="0.25">
      <c r="P694" s="926"/>
    </row>
    <row r="695" spans="16:16" x14ac:dyDescent="0.25">
      <c r="P695" s="926"/>
    </row>
    <row r="696" spans="16:16" x14ac:dyDescent="0.25">
      <c r="P696" s="926"/>
    </row>
    <row r="697" spans="16:16" x14ac:dyDescent="0.25">
      <c r="P697" s="926"/>
    </row>
    <row r="698" spans="16:16" x14ac:dyDescent="0.25">
      <c r="P698" s="926"/>
    </row>
    <row r="699" spans="16:16" x14ac:dyDescent="0.25">
      <c r="P699" s="926"/>
    </row>
    <row r="700" spans="16:16" x14ac:dyDescent="0.25">
      <c r="P700" s="926"/>
    </row>
    <row r="701" spans="16:16" x14ac:dyDescent="0.25">
      <c r="P701" s="926"/>
    </row>
    <row r="702" spans="16:16" x14ac:dyDescent="0.25">
      <c r="P702" s="926"/>
    </row>
    <row r="703" spans="16:16" x14ac:dyDescent="0.25">
      <c r="P703" s="926"/>
    </row>
    <row r="704" spans="16:16" x14ac:dyDescent="0.25">
      <c r="P704" s="926"/>
    </row>
    <row r="705" spans="16:16" x14ac:dyDescent="0.25">
      <c r="P705" s="926"/>
    </row>
    <row r="706" spans="16:16" x14ac:dyDescent="0.25">
      <c r="P706" s="926"/>
    </row>
    <row r="707" spans="16:16" x14ac:dyDescent="0.25">
      <c r="P707" s="926"/>
    </row>
    <row r="708" spans="16:16" x14ac:dyDescent="0.25">
      <c r="P708" s="926"/>
    </row>
    <row r="709" spans="16:16" x14ac:dyDescent="0.25">
      <c r="P709" s="926"/>
    </row>
    <row r="710" spans="16:16" x14ac:dyDescent="0.25">
      <c r="P710" s="926"/>
    </row>
    <row r="711" spans="16:16" x14ac:dyDescent="0.25">
      <c r="P711" s="926"/>
    </row>
    <row r="712" spans="16:16" x14ac:dyDescent="0.25">
      <c r="P712" s="926"/>
    </row>
    <row r="713" spans="16:16" x14ac:dyDescent="0.25">
      <c r="P713" s="926"/>
    </row>
    <row r="714" spans="16:16" x14ac:dyDescent="0.25">
      <c r="P714" s="926"/>
    </row>
    <row r="715" spans="16:16" x14ac:dyDescent="0.25">
      <c r="P715" s="926"/>
    </row>
    <row r="716" spans="16:16" x14ac:dyDescent="0.25">
      <c r="P716" s="926"/>
    </row>
    <row r="717" spans="16:16" x14ac:dyDescent="0.25">
      <c r="P717" s="926"/>
    </row>
    <row r="718" spans="16:16" x14ac:dyDescent="0.25">
      <c r="P718" s="926"/>
    </row>
    <row r="719" spans="16:16" x14ac:dyDescent="0.25">
      <c r="P719" s="926"/>
    </row>
    <row r="720" spans="16:16" x14ac:dyDescent="0.25">
      <c r="P720" s="926"/>
    </row>
    <row r="721" spans="16:16" x14ac:dyDescent="0.25">
      <c r="P721" s="926"/>
    </row>
    <row r="722" spans="16:16" x14ac:dyDescent="0.25">
      <c r="P722" s="926"/>
    </row>
    <row r="723" spans="16:16" x14ac:dyDescent="0.25">
      <c r="P723" s="926"/>
    </row>
    <row r="724" spans="16:16" x14ac:dyDescent="0.25">
      <c r="P724" s="926"/>
    </row>
    <row r="725" spans="16:16" x14ac:dyDescent="0.25">
      <c r="P725" s="926"/>
    </row>
    <row r="726" spans="16:16" x14ac:dyDescent="0.25">
      <c r="P726" s="926"/>
    </row>
    <row r="727" spans="16:16" x14ac:dyDescent="0.25">
      <c r="P727" s="926"/>
    </row>
    <row r="728" spans="16:16" x14ac:dyDescent="0.25">
      <c r="P728" s="926"/>
    </row>
    <row r="729" spans="16:16" x14ac:dyDescent="0.25">
      <c r="P729" s="926"/>
    </row>
    <row r="730" spans="16:16" x14ac:dyDescent="0.25">
      <c r="P730" s="926"/>
    </row>
    <row r="731" spans="16:16" x14ac:dyDescent="0.25">
      <c r="P731" s="926"/>
    </row>
    <row r="732" spans="16:16" x14ac:dyDescent="0.25">
      <c r="P732" s="926"/>
    </row>
    <row r="733" spans="16:16" x14ac:dyDescent="0.25">
      <c r="P733" s="926"/>
    </row>
    <row r="734" spans="16:16" x14ac:dyDescent="0.25">
      <c r="P734" s="926"/>
    </row>
    <row r="735" spans="16:16" x14ac:dyDescent="0.25">
      <c r="P735" s="926"/>
    </row>
    <row r="736" spans="16:16" x14ac:dyDescent="0.25">
      <c r="P736" s="926"/>
    </row>
    <row r="737" spans="16:16" x14ac:dyDescent="0.25">
      <c r="P737" s="926"/>
    </row>
    <row r="738" spans="16:16" x14ac:dyDescent="0.25">
      <c r="P738" s="926"/>
    </row>
    <row r="739" spans="16:16" x14ac:dyDescent="0.25">
      <c r="P739" s="926"/>
    </row>
    <row r="740" spans="16:16" x14ac:dyDescent="0.25">
      <c r="P740" s="926"/>
    </row>
    <row r="741" spans="16:16" x14ac:dyDescent="0.25">
      <c r="P741" s="926"/>
    </row>
    <row r="742" spans="16:16" x14ac:dyDescent="0.25">
      <c r="P742" s="926"/>
    </row>
    <row r="743" spans="16:16" x14ac:dyDescent="0.25">
      <c r="P743" s="926"/>
    </row>
    <row r="744" spans="16:16" x14ac:dyDescent="0.25">
      <c r="P744" s="926"/>
    </row>
    <row r="745" spans="16:16" x14ac:dyDescent="0.25">
      <c r="P745" s="926"/>
    </row>
    <row r="746" spans="16:16" x14ac:dyDescent="0.25">
      <c r="P746" s="926"/>
    </row>
    <row r="747" spans="16:16" x14ac:dyDescent="0.25">
      <c r="P747" s="926"/>
    </row>
    <row r="748" spans="16:16" x14ac:dyDescent="0.25">
      <c r="P748" s="926"/>
    </row>
    <row r="749" spans="16:16" x14ac:dyDescent="0.25">
      <c r="P749" s="926"/>
    </row>
    <row r="750" spans="16:16" x14ac:dyDescent="0.25">
      <c r="P750" s="926"/>
    </row>
    <row r="751" spans="16:16" x14ac:dyDescent="0.25">
      <c r="P751" s="926"/>
    </row>
    <row r="752" spans="16:16" x14ac:dyDescent="0.25">
      <c r="P752" s="926"/>
    </row>
    <row r="753" spans="16:16" x14ac:dyDescent="0.25">
      <c r="P753" s="926"/>
    </row>
    <row r="754" spans="16:16" x14ac:dyDescent="0.25">
      <c r="P754" s="926"/>
    </row>
    <row r="755" spans="16:16" x14ac:dyDescent="0.25">
      <c r="P755" s="926"/>
    </row>
    <row r="756" spans="16:16" x14ac:dyDescent="0.25">
      <c r="P756" s="926"/>
    </row>
    <row r="757" spans="16:16" x14ac:dyDescent="0.25">
      <c r="P757" s="926"/>
    </row>
    <row r="758" spans="16:16" x14ac:dyDescent="0.25">
      <c r="P758" s="926"/>
    </row>
    <row r="759" spans="16:16" x14ac:dyDescent="0.25">
      <c r="P759" s="926"/>
    </row>
    <row r="760" spans="16:16" x14ac:dyDescent="0.25">
      <c r="P760" s="926"/>
    </row>
    <row r="761" spans="16:16" x14ac:dyDescent="0.25">
      <c r="P761" s="926"/>
    </row>
    <row r="762" spans="16:16" x14ac:dyDescent="0.25">
      <c r="P762" s="926"/>
    </row>
    <row r="763" spans="16:16" x14ac:dyDescent="0.25">
      <c r="P763" s="926"/>
    </row>
    <row r="764" spans="16:16" x14ac:dyDescent="0.25">
      <c r="P764" s="926"/>
    </row>
    <row r="765" spans="16:16" x14ac:dyDescent="0.25">
      <c r="P765" s="926"/>
    </row>
    <row r="766" spans="16:16" x14ac:dyDescent="0.25">
      <c r="P766" s="926"/>
    </row>
    <row r="767" spans="16:16" x14ac:dyDescent="0.25">
      <c r="P767" s="926"/>
    </row>
    <row r="768" spans="16:16" x14ac:dyDescent="0.25">
      <c r="P768" s="926"/>
    </row>
    <row r="769" spans="16:16" x14ac:dyDescent="0.25">
      <c r="P769" s="926"/>
    </row>
    <row r="770" spans="16:16" x14ac:dyDescent="0.25">
      <c r="P770" s="926"/>
    </row>
    <row r="771" spans="16:16" x14ac:dyDescent="0.25">
      <c r="P771" s="926"/>
    </row>
    <row r="772" spans="16:16" x14ac:dyDescent="0.25">
      <c r="P772" s="926"/>
    </row>
    <row r="773" spans="16:16" x14ac:dyDescent="0.25">
      <c r="P773" s="926"/>
    </row>
    <row r="774" spans="16:16" x14ac:dyDescent="0.25">
      <c r="P774" s="926"/>
    </row>
    <row r="775" spans="16:16" x14ac:dyDescent="0.25">
      <c r="P775" s="926"/>
    </row>
    <row r="776" spans="16:16" x14ac:dyDescent="0.25">
      <c r="P776" s="926"/>
    </row>
    <row r="777" spans="16:16" x14ac:dyDescent="0.25">
      <c r="P777" s="926"/>
    </row>
    <row r="778" spans="16:16" x14ac:dyDescent="0.25">
      <c r="P778" s="926"/>
    </row>
    <row r="779" spans="16:16" x14ac:dyDescent="0.25">
      <c r="P779" s="926"/>
    </row>
    <row r="780" spans="16:16" x14ac:dyDescent="0.25">
      <c r="P780" s="926"/>
    </row>
    <row r="781" spans="16:16" x14ac:dyDescent="0.25">
      <c r="P781" s="926"/>
    </row>
    <row r="782" spans="16:16" x14ac:dyDescent="0.25">
      <c r="P782" s="926"/>
    </row>
    <row r="783" spans="16:16" x14ac:dyDescent="0.25">
      <c r="P783" s="926"/>
    </row>
    <row r="784" spans="16:16" x14ac:dyDescent="0.25">
      <c r="P784" s="926"/>
    </row>
    <row r="785" spans="16:16" x14ac:dyDescent="0.25">
      <c r="P785" s="926"/>
    </row>
    <row r="786" spans="16:16" x14ac:dyDescent="0.25">
      <c r="P786" s="926"/>
    </row>
    <row r="787" spans="16:16" x14ac:dyDescent="0.25">
      <c r="P787" s="926"/>
    </row>
    <row r="788" spans="16:16" x14ac:dyDescent="0.25">
      <c r="P788" s="926"/>
    </row>
    <row r="789" spans="16:16" x14ac:dyDescent="0.25">
      <c r="P789" s="926"/>
    </row>
    <row r="790" spans="16:16" x14ac:dyDescent="0.25">
      <c r="P790" s="926"/>
    </row>
    <row r="791" spans="16:16" x14ac:dyDescent="0.25">
      <c r="P791" s="926"/>
    </row>
    <row r="792" spans="16:16" x14ac:dyDescent="0.25">
      <c r="P792" s="926"/>
    </row>
    <row r="793" spans="16:16" x14ac:dyDescent="0.25">
      <c r="P793" s="926"/>
    </row>
    <row r="794" spans="16:16" x14ac:dyDescent="0.25">
      <c r="P794" s="926"/>
    </row>
    <row r="795" spans="16:16" x14ac:dyDescent="0.25">
      <c r="P795" s="926"/>
    </row>
    <row r="796" spans="16:16" x14ac:dyDescent="0.25">
      <c r="P796" s="926"/>
    </row>
    <row r="797" spans="16:16" x14ac:dyDescent="0.25">
      <c r="P797" s="926"/>
    </row>
    <row r="798" spans="16:16" x14ac:dyDescent="0.25">
      <c r="P798" s="926"/>
    </row>
    <row r="799" spans="16:16" x14ac:dyDescent="0.25">
      <c r="P799" s="926"/>
    </row>
    <row r="800" spans="16:16" x14ac:dyDescent="0.25">
      <c r="P800" s="926"/>
    </row>
    <row r="801" spans="16:16" x14ac:dyDescent="0.25">
      <c r="P801" s="926"/>
    </row>
    <row r="802" spans="16:16" x14ac:dyDescent="0.25">
      <c r="P802" s="926"/>
    </row>
    <row r="803" spans="16:16" x14ac:dyDescent="0.25">
      <c r="P803" s="926"/>
    </row>
    <row r="804" spans="16:16" x14ac:dyDescent="0.25">
      <c r="P804" s="926"/>
    </row>
    <row r="805" spans="16:16" x14ac:dyDescent="0.25">
      <c r="P805" s="926"/>
    </row>
    <row r="806" spans="16:16" x14ac:dyDescent="0.25">
      <c r="P806" s="926"/>
    </row>
    <row r="807" spans="16:16" x14ac:dyDescent="0.25">
      <c r="P807" s="926"/>
    </row>
    <row r="808" spans="16:16" x14ac:dyDescent="0.25">
      <c r="P808" s="926"/>
    </row>
    <row r="809" spans="16:16" x14ac:dyDescent="0.25">
      <c r="P809" s="926"/>
    </row>
    <row r="810" spans="16:16" x14ac:dyDescent="0.25">
      <c r="P810" s="926"/>
    </row>
    <row r="811" spans="16:16" x14ac:dyDescent="0.25">
      <c r="P811" s="926"/>
    </row>
    <row r="812" spans="16:16" x14ac:dyDescent="0.25">
      <c r="P812" s="926"/>
    </row>
    <row r="813" spans="16:16" x14ac:dyDescent="0.25">
      <c r="P813" s="926"/>
    </row>
    <row r="814" spans="16:16" x14ac:dyDescent="0.25">
      <c r="P814" s="926"/>
    </row>
    <row r="815" spans="16:16" x14ac:dyDescent="0.25">
      <c r="P815" s="926"/>
    </row>
    <row r="816" spans="16:16" x14ac:dyDescent="0.25">
      <c r="P816" s="926"/>
    </row>
    <row r="817" spans="16:16" x14ac:dyDescent="0.25">
      <c r="P817" s="926"/>
    </row>
    <row r="818" spans="16:16" x14ac:dyDescent="0.25">
      <c r="P818" s="926"/>
    </row>
    <row r="819" spans="16:16" x14ac:dyDescent="0.25">
      <c r="P819" s="926"/>
    </row>
    <row r="820" spans="16:16" x14ac:dyDescent="0.25">
      <c r="P820" s="926"/>
    </row>
    <row r="821" spans="16:16" x14ac:dyDescent="0.25">
      <c r="P821" s="926"/>
    </row>
    <row r="822" spans="16:16" x14ac:dyDescent="0.25">
      <c r="P822" s="926"/>
    </row>
    <row r="823" spans="16:16" x14ac:dyDescent="0.25">
      <c r="P823" s="926"/>
    </row>
    <row r="824" spans="16:16" x14ac:dyDescent="0.25">
      <c r="P824" s="926"/>
    </row>
    <row r="825" spans="16:16" x14ac:dyDescent="0.25">
      <c r="P825" s="926"/>
    </row>
    <row r="826" spans="16:16" x14ac:dyDescent="0.25">
      <c r="P826" s="926"/>
    </row>
    <row r="827" spans="16:16" x14ac:dyDescent="0.25">
      <c r="P827" s="926"/>
    </row>
    <row r="828" spans="16:16" x14ac:dyDescent="0.25">
      <c r="P828" s="926"/>
    </row>
    <row r="829" spans="16:16" x14ac:dyDescent="0.25">
      <c r="P829" s="926"/>
    </row>
    <row r="830" spans="16:16" x14ac:dyDescent="0.25">
      <c r="P830" s="926"/>
    </row>
    <row r="831" spans="16:16" x14ac:dyDescent="0.25">
      <c r="P831" s="926"/>
    </row>
    <row r="832" spans="16:16" x14ac:dyDescent="0.25">
      <c r="P832" s="926"/>
    </row>
    <row r="833" spans="16:16" x14ac:dyDescent="0.25">
      <c r="P833" s="926"/>
    </row>
    <row r="834" spans="16:16" x14ac:dyDescent="0.25">
      <c r="P834" s="926"/>
    </row>
    <row r="835" spans="16:16" x14ac:dyDescent="0.25">
      <c r="P835" s="926"/>
    </row>
    <row r="836" spans="16:16" x14ac:dyDescent="0.25">
      <c r="P836" s="926"/>
    </row>
    <row r="837" spans="16:16" x14ac:dyDescent="0.25">
      <c r="P837" s="926"/>
    </row>
    <row r="838" spans="16:16" x14ac:dyDescent="0.25">
      <c r="P838" s="926"/>
    </row>
    <row r="839" spans="16:16" x14ac:dyDescent="0.25">
      <c r="P839" s="926"/>
    </row>
    <row r="840" spans="16:16" x14ac:dyDescent="0.25">
      <c r="P840" s="926"/>
    </row>
    <row r="841" spans="16:16" x14ac:dyDescent="0.25">
      <c r="P841" s="926"/>
    </row>
    <row r="842" spans="16:16" x14ac:dyDescent="0.25">
      <c r="P842" s="926"/>
    </row>
    <row r="843" spans="16:16" x14ac:dyDescent="0.25">
      <c r="P843" s="926"/>
    </row>
    <row r="844" spans="16:16" x14ac:dyDescent="0.25">
      <c r="P844" s="926"/>
    </row>
    <row r="845" spans="16:16" x14ac:dyDescent="0.25">
      <c r="P845" s="926"/>
    </row>
    <row r="846" spans="16:16" x14ac:dyDescent="0.25">
      <c r="P846" s="926"/>
    </row>
    <row r="847" spans="16:16" x14ac:dyDescent="0.25">
      <c r="P847" s="926"/>
    </row>
    <row r="848" spans="16:16" x14ac:dyDescent="0.25">
      <c r="P848" s="926"/>
    </row>
    <row r="849" spans="16:16" x14ac:dyDescent="0.25">
      <c r="P849" s="926"/>
    </row>
    <row r="850" spans="16:16" x14ac:dyDescent="0.25">
      <c r="P850" s="926"/>
    </row>
    <row r="851" spans="16:16" x14ac:dyDescent="0.25">
      <c r="P851" s="926"/>
    </row>
    <row r="852" spans="16:16" x14ac:dyDescent="0.25">
      <c r="P852" s="926"/>
    </row>
    <row r="853" spans="16:16" x14ac:dyDescent="0.25">
      <c r="P853" s="926"/>
    </row>
    <row r="854" spans="16:16" x14ac:dyDescent="0.25">
      <c r="P854" s="926"/>
    </row>
    <row r="855" spans="16:16" x14ac:dyDescent="0.25">
      <c r="P855" s="926"/>
    </row>
    <row r="856" spans="16:16" x14ac:dyDescent="0.25">
      <c r="P856" s="926"/>
    </row>
    <row r="857" spans="16:16" x14ac:dyDescent="0.25">
      <c r="P857" s="926"/>
    </row>
    <row r="858" spans="16:16" x14ac:dyDescent="0.25">
      <c r="P858" s="926"/>
    </row>
    <row r="859" spans="16:16" x14ac:dyDescent="0.25">
      <c r="P859" s="926"/>
    </row>
    <row r="860" spans="16:16" x14ac:dyDescent="0.25">
      <c r="P860" s="926"/>
    </row>
    <row r="861" spans="16:16" x14ac:dyDescent="0.25">
      <c r="P861" s="926"/>
    </row>
    <row r="862" spans="16:16" x14ac:dyDescent="0.25">
      <c r="P862" s="926"/>
    </row>
    <row r="863" spans="16:16" x14ac:dyDescent="0.25">
      <c r="P863" s="926"/>
    </row>
    <row r="864" spans="16:16" x14ac:dyDescent="0.25">
      <c r="P864" s="926"/>
    </row>
    <row r="865" spans="16:16" x14ac:dyDescent="0.25">
      <c r="P865" s="926"/>
    </row>
    <row r="866" spans="16:16" x14ac:dyDescent="0.25">
      <c r="P866" s="926"/>
    </row>
    <row r="867" spans="16:16" x14ac:dyDescent="0.25">
      <c r="P867" s="926"/>
    </row>
    <row r="868" spans="16:16" x14ac:dyDescent="0.25">
      <c r="P868" s="926"/>
    </row>
    <row r="869" spans="16:16" x14ac:dyDescent="0.25">
      <c r="P869" s="926"/>
    </row>
    <row r="870" spans="16:16" x14ac:dyDescent="0.25">
      <c r="P870" s="926"/>
    </row>
    <row r="871" spans="16:16" x14ac:dyDescent="0.25">
      <c r="P871" s="926"/>
    </row>
    <row r="872" spans="16:16" x14ac:dyDescent="0.25">
      <c r="P872" s="926"/>
    </row>
    <row r="873" spans="16:16" x14ac:dyDescent="0.25">
      <c r="P873" s="926"/>
    </row>
    <row r="874" spans="16:16" x14ac:dyDescent="0.25">
      <c r="P874" s="926"/>
    </row>
    <row r="875" spans="16:16" x14ac:dyDescent="0.25">
      <c r="P875" s="926"/>
    </row>
    <row r="876" spans="16:16" x14ac:dyDescent="0.25">
      <c r="P876" s="926"/>
    </row>
    <row r="877" spans="16:16" x14ac:dyDescent="0.25">
      <c r="P877" s="926"/>
    </row>
    <row r="878" spans="16:16" x14ac:dyDescent="0.25">
      <c r="P878" s="926"/>
    </row>
    <row r="879" spans="16:16" x14ac:dyDescent="0.25">
      <c r="P879" s="926"/>
    </row>
    <row r="880" spans="16:16" x14ac:dyDescent="0.25">
      <c r="P880" s="926"/>
    </row>
    <row r="881" spans="16:16" x14ac:dyDescent="0.25">
      <c r="P881" s="926"/>
    </row>
    <row r="882" spans="16:16" x14ac:dyDescent="0.25">
      <c r="P882" s="926"/>
    </row>
    <row r="883" spans="16:16" x14ac:dyDescent="0.25">
      <c r="P883" s="926"/>
    </row>
    <row r="884" spans="16:16" x14ac:dyDescent="0.25">
      <c r="P884" s="926"/>
    </row>
    <row r="885" spans="16:16" x14ac:dyDescent="0.25">
      <c r="P885" s="926"/>
    </row>
    <row r="886" spans="16:16" x14ac:dyDescent="0.25">
      <c r="P886" s="926"/>
    </row>
    <row r="887" spans="16:16" x14ac:dyDescent="0.25">
      <c r="P887" s="926"/>
    </row>
    <row r="888" spans="16:16" x14ac:dyDescent="0.25">
      <c r="P888" s="926"/>
    </row>
    <row r="889" spans="16:16" x14ac:dyDescent="0.25">
      <c r="P889" s="926"/>
    </row>
    <row r="890" spans="16:16" x14ac:dyDescent="0.25">
      <c r="P890" s="926"/>
    </row>
    <row r="891" spans="16:16" x14ac:dyDescent="0.25">
      <c r="P891" s="926"/>
    </row>
    <row r="892" spans="16:16" x14ac:dyDescent="0.25">
      <c r="P892" s="926"/>
    </row>
    <row r="893" spans="16:16" x14ac:dyDescent="0.25">
      <c r="P893" s="926"/>
    </row>
    <row r="894" spans="16:16" x14ac:dyDescent="0.25">
      <c r="P894" s="926"/>
    </row>
    <row r="895" spans="16:16" x14ac:dyDescent="0.25">
      <c r="P895" s="926"/>
    </row>
    <row r="896" spans="16:16" x14ac:dyDescent="0.25">
      <c r="P896" s="926"/>
    </row>
    <row r="897" spans="16:16" x14ac:dyDescent="0.25">
      <c r="P897" s="926"/>
    </row>
    <row r="898" spans="16:16" x14ac:dyDescent="0.25">
      <c r="P898" s="926"/>
    </row>
    <row r="899" spans="16:16" x14ac:dyDescent="0.25">
      <c r="P899" s="926"/>
    </row>
    <row r="900" spans="16:16" x14ac:dyDescent="0.25">
      <c r="P900" s="926"/>
    </row>
    <row r="901" spans="16:16" x14ac:dyDescent="0.25">
      <c r="P901" s="926"/>
    </row>
    <row r="902" spans="16:16" x14ac:dyDescent="0.25">
      <c r="P902" s="926"/>
    </row>
    <row r="903" spans="16:16" x14ac:dyDescent="0.25">
      <c r="P903" s="926"/>
    </row>
    <row r="904" spans="16:16" x14ac:dyDescent="0.25">
      <c r="P904" s="926"/>
    </row>
    <row r="905" spans="16:16" x14ac:dyDescent="0.25">
      <c r="P905" s="926"/>
    </row>
    <row r="906" spans="16:16" x14ac:dyDescent="0.25">
      <c r="P906" s="926"/>
    </row>
    <row r="907" spans="16:16" x14ac:dyDescent="0.25">
      <c r="P907" s="926"/>
    </row>
    <row r="908" spans="16:16" x14ac:dyDescent="0.25">
      <c r="P908" s="926"/>
    </row>
    <row r="909" spans="16:16" x14ac:dyDescent="0.25">
      <c r="P909" s="926"/>
    </row>
    <row r="910" spans="16:16" x14ac:dyDescent="0.25">
      <c r="P910" s="926"/>
    </row>
    <row r="911" spans="16:16" x14ac:dyDescent="0.25">
      <c r="P911" s="926"/>
    </row>
    <row r="912" spans="16:16" x14ac:dyDescent="0.25">
      <c r="P912" s="926"/>
    </row>
    <row r="913" spans="16:16" x14ac:dyDescent="0.25">
      <c r="P913" s="926"/>
    </row>
    <row r="914" spans="16:16" x14ac:dyDescent="0.25">
      <c r="P914" s="926"/>
    </row>
    <row r="915" spans="16:16" x14ac:dyDescent="0.25">
      <c r="P915" s="926"/>
    </row>
    <row r="916" spans="16:16" x14ac:dyDescent="0.25">
      <c r="P916" s="926"/>
    </row>
    <row r="917" spans="16:16" x14ac:dyDescent="0.25">
      <c r="P917" s="926"/>
    </row>
    <row r="918" spans="16:16" x14ac:dyDescent="0.25">
      <c r="P918" s="926"/>
    </row>
    <row r="919" spans="16:16" x14ac:dyDescent="0.25">
      <c r="P919" s="926"/>
    </row>
    <row r="920" spans="16:16" x14ac:dyDescent="0.25">
      <c r="P920" s="926"/>
    </row>
    <row r="921" spans="16:16" x14ac:dyDescent="0.25">
      <c r="P921" s="926"/>
    </row>
    <row r="922" spans="16:16" x14ac:dyDescent="0.25">
      <c r="P922" s="926"/>
    </row>
    <row r="923" spans="16:16" x14ac:dyDescent="0.25">
      <c r="P923" s="926"/>
    </row>
    <row r="924" spans="16:16" x14ac:dyDescent="0.25">
      <c r="P924" s="926"/>
    </row>
    <row r="925" spans="16:16" x14ac:dyDescent="0.25">
      <c r="P925" s="926"/>
    </row>
    <row r="926" spans="16:16" x14ac:dyDescent="0.25">
      <c r="P926" s="926"/>
    </row>
    <row r="927" spans="16:16" x14ac:dyDescent="0.25">
      <c r="P927" s="926"/>
    </row>
    <row r="928" spans="16:16" x14ac:dyDescent="0.25">
      <c r="P928" s="926"/>
    </row>
    <row r="929" spans="16:16" x14ac:dyDescent="0.25">
      <c r="P929" s="926"/>
    </row>
    <row r="930" spans="16:16" x14ac:dyDescent="0.25">
      <c r="P930" s="926"/>
    </row>
    <row r="931" spans="16:16" x14ac:dyDescent="0.25">
      <c r="P931" s="926"/>
    </row>
    <row r="932" spans="16:16" x14ac:dyDescent="0.25">
      <c r="P932" s="926"/>
    </row>
    <row r="933" spans="16:16" x14ac:dyDescent="0.25">
      <c r="P933" s="926"/>
    </row>
    <row r="934" spans="16:16" x14ac:dyDescent="0.25">
      <c r="P934" s="926"/>
    </row>
    <row r="935" spans="16:16" x14ac:dyDescent="0.25">
      <c r="P935" s="926"/>
    </row>
    <row r="936" spans="16:16" x14ac:dyDescent="0.25">
      <c r="P936" s="926"/>
    </row>
    <row r="937" spans="16:16" x14ac:dyDescent="0.25">
      <c r="P937" s="926"/>
    </row>
    <row r="938" spans="16:16" x14ac:dyDescent="0.25">
      <c r="P938" s="926"/>
    </row>
    <row r="939" spans="16:16" x14ac:dyDescent="0.25">
      <c r="P939" s="926"/>
    </row>
    <row r="940" spans="16:16" x14ac:dyDescent="0.25">
      <c r="P940" s="926"/>
    </row>
    <row r="941" spans="16:16" x14ac:dyDescent="0.25">
      <c r="P941" s="926"/>
    </row>
    <row r="942" spans="16:16" x14ac:dyDescent="0.25">
      <c r="P942" s="926"/>
    </row>
    <row r="943" spans="16:16" x14ac:dyDescent="0.25">
      <c r="P943" s="926"/>
    </row>
    <row r="944" spans="16:16" x14ac:dyDescent="0.25">
      <c r="P944" s="926"/>
    </row>
    <row r="945" spans="16:16" x14ac:dyDescent="0.25">
      <c r="P945" s="926"/>
    </row>
    <row r="946" spans="16:16" x14ac:dyDescent="0.25">
      <c r="P946" s="926"/>
    </row>
    <row r="947" spans="16:16" x14ac:dyDescent="0.25">
      <c r="P947" s="926"/>
    </row>
    <row r="948" spans="16:16" x14ac:dyDescent="0.25">
      <c r="P948" s="926"/>
    </row>
    <row r="949" spans="16:16" x14ac:dyDescent="0.25">
      <c r="P949" s="926"/>
    </row>
    <row r="950" spans="16:16" x14ac:dyDescent="0.25">
      <c r="P950" s="926"/>
    </row>
    <row r="951" spans="16:16" x14ac:dyDescent="0.25">
      <c r="P951" s="926"/>
    </row>
    <row r="952" spans="16:16" x14ac:dyDescent="0.25">
      <c r="P952" s="926"/>
    </row>
    <row r="953" spans="16:16" x14ac:dyDescent="0.25">
      <c r="P953" s="926"/>
    </row>
    <row r="954" spans="16:16" x14ac:dyDescent="0.25">
      <c r="P954" s="926"/>
    </row>
    <row r="955" spans="16:16" x14ac:dyDescent="0.25">
      <c r="P955" s="926"/>
    </row>
    <row r="956" spans="16:16" x14ac:dyDescent="0.25">
      <c r="P956" s="926"/>
    </row>
    <row r="957" spans="16:16" x14ac:dyDescent="0.25">
      <c r="P957" s="926"/>
    </row>
    <row r="958" spans="16:16" x14ac:dyDescent="0.25">
      <c r="P958" s="926"/>
    </row>
    <row r="959" spans="16:16" x14ac:dyDescent="0.25">
      <c r="P959" s="926"/>
    </row>
    <row r="960" spans="16:16" x14ac:dyDescent="0.25">
      <c r="P960" s="926"/>
    </row>
    <row r="961" spans="16:16" x14ac:dyDescent="0.25">
      <c r="P961" s="926"/>
    </row>
    <row r="962" spans="16:16" x14ac:dyDescent="0.25">
      <c r="P962" s="926"/>
    </row>
    <row r="963" spans="16:16" x14ac:dyDescent="0.25">
      <c r="P963" s="926"/>
    </row>
    <row r="964" spans="16:16" x14ac:dyDescent="0.25">
      <c r="P964" s="926"/>
    </row>
    <row r="965" spans="16:16" x14ac:dyDescent="0.25">
      <c r="P965" s="926"/>
    </row>
    <row r="966" spans="16:16" x14ac:dyDescent="0.25">
      <c r="P966" s="926"/>
    </row>
    <row r="967" spans="16:16" x14ac:dyDescent="0.25">
      <c r="P967" s="926"/>
    </row>
    <row r="968" spans="16:16" x14ac:dyDescent="0.25">
      <c r="P968" s="926"/>
    </row>
    <row r="969" spans="16:16" x14ac:dyDescent="0.25">
      <c r="P969" s="926"/>
    </row>
    <row r="970" spans="16:16" x14ac:dyDescent="0.25">
      <c r="P970" s="926"/>
    </row>
    <row r="971" spans="16:16" x14ac:dyDescent="0.25">
      <c r="P971" s="926"/>
    </row>
    <row r="972" spans="16:16" x14ac:dyDescent="0.25">
      <c r="P972" s="926"/>
    </row>
    <row r="973" spans="16:16" x14ac:dyDescent="0.25">
      <c r="P973" s="926"/>
    </row>
    <row r="974" spans="16:16" x14ac:dyDescent="0.25">
      <c r="P974" s="926"/>
    </row>
    <row r="975" spans="16:16" x14ac:dyDescent="0.25">
      <c r="P975" s="926"/>
    </row>
    <row r="976" spans="16:16" x14ac:dyDescent="0.25">
      <c r="P976" s="926"/>
    </row>
    <row r="977" spans="16:16" x14ac:dyDescent="0.25">
      <c r="P977" s="926"/>
    </row>
    <row r="978" spans="16:16" x14ac:dyDescent="0.25">
      <c r="P978" s="926"/>
    </row>
    <row r="979" spans="16:16" x14ac:dyDescent="0.25">
      <c r="P979" s="926"/>
    </row>
    <row r="980" spans="16:16" x14ac:dyDescent="0.25">
      <c r="P980" s="926"/>
    </row>
    <row r="981" spans="16:16" x14ac:dyDescent="0.25">
      <c r="P981" s="926"/>
    </row>
    <row r="982" spans="16:16" x14ac:dyDescent="0.25">
      <c r="P982" s="926"/>
    </row>
    <row r="983" spans="16:16" x14ac:dyDescent="0.25">
      <c r="P983" s="926"/>
    </row>
    <row r="984" spans="16:16" x14ac:dyDescent="0.25">
      <c r="P984" s="926"/>
    </row>
    <row r="985" spans="16:16" x14ac:dyDescent="0.25">
      <c r="P985" s="926"/>
    </row>
    <row r="986" spans="16:16" x14ac:dyDescent="0.25">
      <c r="P986" s="926"/>
    </row>
    <row r="987" spans="16:16" x14ac:dyDescent="0.25">
      <c r="P987" s="926"/>
    </row>
    <row r="988" spans="16:16" x14ac:dyDescent="0.25">
      <c r="P988" s="926"/>
    </row>
    <row r="989" spans="16:16" x14ac:dyDescent="0.25">
      <c r="P989" s="926"/>
    </row>
    <row r="990" spans="16:16" x14ac:dyDescent="0.25">
      <c r="P990" s="926"/>
    </row>
    <row r="991" spans="16:16" x14ac:dyDescent="0.25">
      <c r="P991" s="926"/>
    </row>
    <row r="992" spans="16:16" x14ac:dyDescent="0.25">
      <c r="P992" s="926"/>
    </row>
    <row r="993" spans="16:16" x14ac:dyDescent="0.25">
      <c r="P993" s="926"/>
    </row>
    <row r="994" spans="16:16" x14ac:dyDescent="0.25">
      <c r="P994" s="926"/>
    </row>
    <row r="995" spans="16:16" x14ac:dyDescent="0.25">
      <c r="P995" s="926"/>
    </row>
    <row r="996" spans="16:16" x14ac:dyDescent="0.25">
      <c r="P996" s="926"/>
    </row>
    <row r="997" spans="16:16" x14ac:dyDescent="0.25">
      <c r="P997" s="926"/>
    </row>
    <row r="998" spans="16:16" x14ac:dyDescent="0.25">
      <c r="P998" s="926"/>
    </row>
    <row r="999" spans="16:16" x14ac:dyDescent="0.25">
      <c r="P999" s="926"/>
    </row>
    <row r="1000" spans="16:16" x14ac:dyDescent="0.25">
      <c r="P1000" s="926"/>
    </row>
    <row r="1001" spans="16:16" x14ac:dyDescent="0.25">
      <c r="P1001" s="926"/>
    </row>
    <row r="1002" spans="16:16" x14ac:dyDescent="0.25">
      <c r="P1002" s="926"/>
    </row>
    <row r="1003" spans="16:16" x14ac:dyDescent="0.25">
      <c r="P1003" s="926"/>
    </row>
    <row r="1004" spans="16:16" x14ac:dyDescent="0.25">
      <c r="P1004" s="926"/>
    </row>
    <row r="1005" spans="16:16" x14ac:dyDescent="0.25">
      <c r="P1005" s="926"/>
    </row>
    <row r="1006" spans="16:16" x14ac:dyDescent="0.25">
      <c r="P1006" s="926"/>
    </row>
    <row r="1007" spans="16:16" x14ac:dyDescent="0.25">
      <c r="P1007" s="926"/>
    </row>
    <row r="1008" spans="16:16" x14ac:dyDescent="0.25">
      <c r="P1008" s="926"/>
    </row>
    <row r="1009" spans="16:16" x14ac:dyDescent="0.25">
      <c r="P1009" s="926"/>
    </row>
    <row r="1010" spans="16:16" x14ac:dyDescent="0.25">
      <c r="P1010" s="926"/>
    </row>
    <row r="1011" spans="16:16" x14ac:dyDescent="0.25">
      <c r="P1011" s="926"/>
    </row>
    <row r="1012" spans="16:16" x14ac:dyDescent="0.25">
      <c r="P1012" s="926"/>
    </row>
    <row r="1013" spans="16:16" x14ac:dyDescent="0.25">
      <c r="P1013" s="926"/>
    </row>
    <row r="1014" spans="16:16" x14ac:dyDescent="0.25">
      <c r="P1014" s="926"/>
    </row>
    <row r="1015" spans="16:16" x14ac:dyDescent="0.25">
      <c r="P1015" s="926"/>
    </row>
    <row r="1016" spans="16:16" x14ac:dyDescent="0.25">
      <c r="P1016" s="926"/>
    </row>
    <row r="1017" spans="16:16" x14ac:dyDescent="0.25">
      <c r="P1017" s="926"/>
    </row>
    <row r="1018" spans="16:16" x14ac:dyDescent="0.25">
      <c r="P1018" s="926"/>
    </row>
    <row r="1019" spans="16:16" x14ac:dyDescent="0.25">
      <c r="P1019" s="926"/>
    </row>
    <row r="1020" spans="16:16" x14ac:dyDescent="0.25">
      <c r="P1020" s="926"/>
    </row>
    <row r="1021" spans="16:16" x14ac:dyDescent="0.25">
      <c r="P1021" s="926"/>
    </row>
    <row r="1022" spans="16:16" x14ac:dyDescent="0.25">
      <c r="P1022" s="926"/>
    </row>
    <row r="1023" spans="16:16" x14ac:dyDescent="0.25">
      <c r="P1023" s="926"/>
    </row>
    <row r="1024" spans="16:16" x14ac:dyDescent="0.25">
      <c r="P1024" s="926"/>
    </row>
    <row r="1025" spans="16:16" x14ac:dyDescent="0.25">
      <c r="P1025" s="926"/>
    </row>
    <row r="1026" spans="16:16" x14ac:dyDescent="0.25">
      <c r="P1026" s="926"/>
    </row>
    <row r="1027" spans="16:16" x14ac:dyDescent="0.25">
      <c r="P1027" s="926"/>
    </row>
    <row r="1028" spans="16:16" x14ac:dyDescent="0.25">
      <c r="P1028" s="926"/>
    </row>
    <row r="1029" spans="16:16" x14ac:dyDescent="0.25">
      <c r="P1029" s="926"/>
    </row>
    <row r="1030" spans="16:16" x14ac:dyDescent="0.25">
      <c r="P1030" s="926"/>
    </row>
    <row r="1031" spans="16:16" x14ac:dyDescent="0.25">
      <c r="P1031" s="926"/>
    </row>
    <row r="1032" spans="16:16" x14ac:dyDescent="0.25">
      <c r="P1032" s="926"/>
    </row>
    <row r="1033" spans="16:16" x14ac:dyDescent="0.25">
      <c r="P1033" s="926"/>
    </row>
    <row r="1034" spans="16:16" x14ac:dyDescent="0.25">
      <c r="P1034" s="926"/>
    </row>
    <row r="1035" spans="16:16" x14ac:dyDescent="0.25">
      <c r="P1035" s="926"/>
    </row>
    <row r="1036" spans="16:16" x14ac:dyDescent="0.25">
      <c r="P1036" s="926"/>
    </row>
    <row r="1037" spans="16:16" x14ac:dyDescent="0.25">
      <c r="P1037" s="926"/>
    </row>
    <row r="1038" spans="16:16" x14ac:dyDescent="0.25">
      <c r="P1038" s="926"/>
    </row>
    <row r="1039" spans="16:16" x14ac:dyDescent="0.25">
      <c r="P1039" s="926"/>
    </row>
    <row r="1040" spans="16:16" x14ac:dyDescent="0.25">
      <c r="P1040" s="926"/>
    </row>
    <row r="1041" spans="16:16" x14ac:dyDescent="0.25">
      <c r="P1041" s="926"/>
    </row>
    <row r="1042" spans="16:16" x14ac:dyDescent="0.25">
      <c r="P1042" s="926"/>
    </row>
    <row r="1043" spans="16:16" x14ac:dyDescent="0.25">
      <c r="P1043" s="926"/>
    </row>
    <row r="1044" spans="16:16" x14ac:dyDescent="0.25">
      <c r="P1044" s="926"/>
    </row>
    <row r="1045" spans="16:16" x14ac:dyDescent="0.25">
      <c r="P1045" s="926"/>
    </row>
    <row r="1046" spans="16:16" x14ac:dyDescent="0.25">
      <c r="P1046" s="926"/>
    </row>
    <row r="1047" spans="16:16" x14ac:dyDescent="0.25">
      <c r="P1047" s="926"/>
    </row>
    <row r="1048" spans="16:16" x14ac:dyDescent="0.25">
      <c r="P1048" s="926"/>
    </row>
    <row r="1049" spans="16:16" x14ac:dyDescent="0.25">
      <c r="P1049" s="926"/>
    </row>
    <row r="1050" spans="16:16" x14ac:dyDescent="0.25">
      <c r="P1050" s="926"/>
    </row>
    <row r="1051" spans="16:16" x14ac:dyDescent="0.25">
      <c r="P1051" s="926"/>
    </row>
    <row r="1052" spans="16:16" x14ac:dyDescent="0.25">
      <c r="P1052" s="926"/>
    </row>
    <row r="1053" spans="16:16" x14ac:dyDescent="0.25">
      <c r="P1053" s="926"/>
    </row>
    <row r="1054" spans="16:16" x14ac:dyDescent="0.25">
      <c r="P1054" s="926"/>
    </row>
    <row r="1055" spans="16:16" x14ac:dyDescent="0.25">
      <c r="P1055" s="926"/>
    </row>
    <row r="1056" spans="16:16" x14ac:dyDescent="0.25">
      <c r="P1056" s="926"/>
    </row>
    <row r="1057" spans="16:16" x14ac:dyDescent="0.25">
      <c r="P1057" s="926"/>
    </row>
    <row r="1058" spans="16:16" x14ac:dyDescent="0.25">
      <c r="P1058" s="926"/>
    </row>
    <row r="1059" spans="16:16" x14ac:dyDescent="0.25">
      <c r="P1059" s="926"/>
    </row>
    <row r="1060" spans="16:16" x14ac:dyDescent="0.25">
      <c r="P1060" s="926"/>
    </row>
    <row r="1061" spans="16:16" x14ac:dyDescent="0.25">
      <c r="P1061" s="926"/>
    </row>
    <row r="1062" spans="16:16" x14ac:dyDescent="0.25">
      <c r="P1062" s="926"/>
    </row>
    <row r="1063" spans="16:16" x14ac:dyDescent="0.25">
      <c r="P1063" s="926"/>
    </row>
    <row r="1064" spans="16:16" x14ac:dyDescent="0.25">
      <c r="P1064" s="926"/>
    </row>
    <row r="1065" spans="16:16" x14ac:dyDescent="0.25">
      <c r="P1065" s="926"/>
    </row>
    <row r="1066" spans="16:16" x14ac:dyDescent="0.25">
      <c r="P1066" s="926"/>
    </row>
    <row r="1067" spans="16:16" x14ac:dyDescent="0.25">
      <c r="P1067" s="926"/>
    </row>
    <row r="1068" spans="16:16" x14ac:dyDescent="0.25">
      <c r="P1068" s="926"/>
    </row>
    <row r="1069" spans="16:16" x14ac:dyDescent="0.25">
      <c r="P1069" s="926"/>
    </row>
    <row r="1070" spans="16:16" x14ac:dyDescent="0.25">
      <c r="P1070" s="926"/>
    </row>
    <row r="1071" spans="16:16" x14ac:dyDescent="0.25">
      <c r="P1071" s="926"/>
    </row>
    <row r="1072" spans="16:16" x14ac:dyDescent="0.25">
      <c r="P1072" s="926"/>
    </row>
    <row r="1073" spans="16:16" x14ac:dyDescent="0.25">
      <c r="P1073" s="926"/>
    </row>
    <row r="1074" spans="16:16" x14ac:dyDescent="0.25">
      <c r="P1074" s="926"/>
    </row>
    <row r="1075" spans="16:16" x14ac:dyDescent="0.25">
      <c r="P1075" s="926"/>
    </row>
    <row r="1076" spans="16:16" x14ac:dyDescent="0.25">
      <c r="P1076" s="926"/>
    </row>
    <row r="1077" spans="16:16" x14ac:dyDescent="0.25">
      <c r="P1077" s="926"/>
    </row>
    <row r="1078" spans="16:16" x14ac:dyDescent="0.25">
      <c r="P1078" s="926"/>
    </row>
    <row r="1079" spans="16:16" x14ac:dyDescent="0.25">
      <c r="P1079" s="926"/>
    </row>
    <row r="1080" spans="16:16" x14ac:dyDescent="0.25">
      <c r="P1080" s="926"/>
    </row>
    <row r="1081" spans="16:16" x14ac:dyDescent="0.25">
      <c r="P1081" s="926"/>
    </row>
    <row r="1082" spans="16:16" x14ac:dyDescent="0.25">
      <c r="P1082" s="926"/>
    </row>
    <row r="1083" spans="16:16" x14ac:dyDescent="0.25">
      <c r="P1083" s="926"/>
    </row>
    <row r="1084" spans="16:16" x14ac:dyDescent="0.25">
      <c r="P1084" s="926"/>
    </row>
    <row r="1085" spans="16:16" x14ac:dyDescent="0.25">
      <c r="P1085" s="926"/>
    </row>
    <row r="1086" spans="16:16" x14ac:dyDescent="0.25">
      <c r="P1086" s="926"/>
    </row>
    <row r="1087" spans="16:16" x14ac:dyDescent="0.25">
      <c r="P1087" s="926"/>
    </row>
    <row r="1088" spans="16:16" x14ac:dyDescent="0.25">
      <c r="P1088" s="926"/>
    </row>
    <row r="1089" spans="16:16" x14ac:dyDescent="0.25">
      <c r="P1089" s="926"/>
    </row>
    <row r="1090" spans="16:16" x14ac:dyDescent="0.25">
      <c r="P1090" s="926"/>
    </row>
    <row r="1091" spans="16:16" x14ac:dyDescent="0.25">
      <c r="P1091" s="926"/>
    </row>
    <row r="1092" spans="16:16" x14ac:dyDescent="0.25">
      <c r="P1092" s="926"/>
    </row>
    <row r="1093" spans="16:16" x14ac:dyDescent="0.25">
      <c r="P1093" s="926"/>
    </row>
    <row r="1094" spans="16:16" x14ac:dyDescent="0.25">
      <c r="P1094" s="926"/>
    </row>
    <row r="1095" spans="16:16" x14ac:dyDescent="0.25">
      <c r="P1095" s="926"/>
    </row>
    <row r="1096" spans="16:16" x14ac:dyDescent="0.25">
      <c r="P1096" s="926"/>
    </row>
    <row r="1097" spans="16:16" x14ac:dyDescent="0.25">
      <c r="P1097" s="926"/>
    </row>
    <row r="1098" spans="16:16" x14ac:dyDescent="0.25">
      <c r="P1098" s="926"/>
    </row>
    <row r="1099" spans="16:16" x14ac:dyDescent="0.25">
      <c r="P1099" s="926"/>
    </row>
    <row r="1100" spans="16:16" x14ac:dyDescent="0.25">
      <c r="P1100" s="926"/>
    </row>
    <row r="1101" spans="16:16" x14ac:dyDescent="0.25">
      <c r="P1101" s="926"/>
    </row>
    <row r="1102" spans="16:16" x14ac:dyDescent="0.25">
      <c r="P1102" s="926"/>
    </row>
    <row r="1103" spans="16:16" x14ac:dyDescent="0.25">
      <c r="P1103" s="926"/>
    </row>
    <row r="1104" spans="16:16" x14ac:dyDescent="0.25">
      <c r="P1104" s="926"/>
    </row>
    <row r="1105" spans="16:16" x14ac:dyDescent="0.25">
      <c r="P1105" s="926"/>
    </row>
    <row r="1106" spans="16:16" x14ac:dyDescent="0.25">
      <c r="P1106" s="926"/>
    </row>
    <row r="1107" spans="16:16" x14ac:dyDescent="0.25">
      <c r="P1107" s="926"/>
    </row>
    <row r="1108" spans="16:16" x14ac:dyDescent="0.25">
      <c r="P1108" s="926"/>
    </row>
    <row r="1109" spans="16:16" x14ac:dyDescent="0.25">
      <c r="P1109" s="926"/>
    </row>
    <row r="1110" spans="16:16" x14ac:dyDescent="0.25">
      <c r="P1110" s="926"/>
    </row>
    <row r="1111" spans="16:16" x14ac:dyDescent="0.25">
      <c r="P1111" s="926"/>
    </row>
    <row r="1112" spans="16:16" x14ac:dyDescent="0.25">
      <c r="P1112" s="926"/>
    </row>
    <row r="1113" spans="16:16" x14ac:dyDescent="0.25">
      <c r="P1113" s="926"/>
    </row>
    <row r="1114" spans="16:16" x14ac:dyDescent="0.25">
      <c r="P1114" s="926"/>
    </row>
    <row r="1115" spans="16:16" x14ac:dyDescent="0.25">
      <c r="P1115" s="926"/>
    </row>
    <row r="1116" spans="16:16" x14ac:dyDescent="0.25">
      <c r="P1116" s="926"/>
    </row>
    <row r="1117" spans="16:16" x14ac:dyDescent="0.25">
      <c r="P1117" s="926"/>
    </row>
    <row r="1118" spans="16:16" x14ac:dyDescent="0.25">
      <c r="P1118" s="926"/>
    </row>
    <row r="1119" spans="16:16" x14ac:dyDescent="0.25">
      <c r="P1119" s="926"/>
    </row>
    <row r="1120" spans="16:16" x14ac:dyDescent="0.25">
      <c r="P1120" s="926"/>
    </row>
    <row r="1121" spans="16:16" x14ac:dyDescent="0.25">
      <c r="P1121" s="926"/>
    </row>
    <row r="1122" spans="16:16" x14ac:dyDescent="0.25">
      <c r="P1122" s="926"/>
    </row>
    <row r="1123" spans="16:16" x14ac:dyDescent="0.25">
      <c r="P1123" s="926"/>
    </row>
    <row r="1124" spans="16:16" x14ac:dyDescent="0.25">
      <c r="P1124" s="926"/>
    </row>
    <row r="1125" spans="16:16" x14ac:dyDescent="0.25">
      <c r="P1125" s="926"/>
    </row>
    <row r="1126" spans="16:16" x14ac:dyDescent="0.25">
      <c r="P1126" s="926"/>
    </row>
    <row r="1127" spans="16:16" x14ac:dyDescent="0.25">
      <c r="P1127" s="926"/>
    </row>
    <row r="1128" spans="16:16" x14ac:dyDescent="0.25">
      <c r="P1128" s="926"/>
    </row>
    <row r="1129" spans="16:16" x14ac:dyDescent="0.25">
      <c r="P1129" s="926"/>
    </row>
    <row r="1130" spans="16:16" x14ac:dyDescent="0.25">
      <c r="P1130" s="926"/>
    </row>
    <row r="1131" spans="16:16" x14ac:dyDescent="0.25">
      <c r="P1131" s="926"/>
    </row>
    <row r="1132" spans="16:16" x14ac:dyDescent="0.25">
      <c r="P1132" s="926"/>
    </row>
    <row r="1133" spans="16:16" x14ac:dyDescent="0.25">
      <c r="P1133" s="926"/>
    </row>
    <row r="1134" spans="16:16" x14ac:dyDescent="0.25">
      <c r="P1134" s="926"/>
    </row>
    <row r="1135" spans="16:16" x14ac:dyDescent="0.25">
      <c r="P1135" s="926"/>
    </row>
    <row r="1136" spans="16:16" x14ac:dyDescent="0.25">
      <c r="P1136" s="926"/>
    </row>
    <row r="1137" spans="16:16" x14ac:dyDescent="0.25">
      <c r="P1137" s="926"/>
    </row>
    <row r="1138" spans="16:16" x14ac:dyDescent="0.25">
      <c r="P1138" s="926"/>
    </row>
    <row r="1139" spans="16:16" x14ac:dyDescent="0.25">
      <c r="P1139" s="926"/>
    </row>
    <row r="1140" spans="16:16" x14ac:dyDescent="0.25">
      <c r="P1140" s="926"/>
    </row>
    <row r="1141" spans="16:16" x14ac:dyDescent="0.25">
      <c r="P1141" s="926"/>
    </row>
    <row r="1142" spans="16:16" x14ac:dyDescent="0.25">
      <c r="P1142" s="926"/>
    </row>
    <row r="1143" spans="16:16" x14ac:dyDescent="0.25">
      <c r="P1143" s="926"/>
    </row>
    <row r="1144" spans="16:16" x14ac:dyDescent="0.25">
      <c r="P1144" s="926"/>
    </row>
    <row r="1145" spans="16:16" x14ac:dyDescent="0.25">
      <c r="P1145" s="926"/>
    </row>
    <row r="1146" spans="16:16" x14ac:dyDescent="0.25">
      <c r="P1146" s="926"/>
    </row>
    <row r="1147" spans="16:16" x14ac:dyDescent="0.25">
      <c r="P1147" s="926"/>
    </row>
    <row r="1148" spans="16:16" x14ac:dyDescent="0.25">
      <c r="P1148" s="926"/>
    </row>
    <row r="1149" spans="16:16" x14ac:dyDescent="0.25">
      <c r="P1149" s="926"/>
    </row>
    <row r="1150" spans="16:16" x14ac:dyDescent="0.25">
      <c r="P1150" s="926"/>
    </row>
    <row r="1151" spans="16:16" x14ac:dyDescent="0.25">
      <c r="P1151" s="926"/>
    </row>
    <row r="1152" spans="16:16" x14ac:dyDescent="0.25">
      <c r="P1152" s="926"/>
    </row>
    <row r="1153" spans="16:16" x14ac:dyDescent="0.25">
      <c r="P1153" s="926"/>
    </row>
    <row r="1154" spans="16:16" x14ac:dyDescent="0.25">
      <c r="P1154" s="926"/>
    </row>
    <row r="1155" spans="16:16" x14ac:dyDescent="0.25">
      <c r="P1155" s="926"/>
    </row>
    <row r="1156" spans="16:16" x14ac:dyDescent="0.25">
      <c r="P1156" s="926"/>
    </row>
    <row r="1157" spans="16:16" x14ac:dyDescent="0.25">
      <c r="P1157" s="926"/>
    </row>
    <row r="1158" spans="16:16" x14ac:dyDescent="0.25">
      <c r="P1158" s="926"/>
    </row>
    <row r="1159" spans="16:16" x14ac:dyDescent="0.25">
      <c r="P1159" s="926"/>
    </row>
    <row r="1160" spans="16:16" x14ac:dyDescent="0.25">
      <c r="P1160" s="926"/>
    </row>
    <row r="1161" spans="16:16" x14ac:dyDescent="0.25">
      <c r="P1161" s="926"/>
    </row>
    <row r="1162" spans="16:16" x14ac:dyDescent="0.25">
      <c r="P1162" s="926"/>
    </row>
    <row r="1163" spans="16:16" x14ac:dyDescent="0.25">
      <c r="P1163" s="926"/>
    </row>
  </sheetData>
  <mergeCells count="10">
    <mergeCell ref="BR49:BR50"/>
    <mergeCell ref="BT49:BT50"/>
    <mergeCell ref="L2:BE2"/>
    <mergeCell ref="BD5:BO5"/>
    <mergeCell ref="BP5:CA5"/>
    <mergeCell ref="A5:J5"/>
    <mergeCell ref="AR5:BC5"/>
    <mergeCell ref="AF5:AQ5"/>
    <mergeCell ref="AB5:AE5"/>
    <mergeCell ref="BT45:BT47"/>
  </mergeCells>
  <pageMargins left="0.7" right="0.7" top="0.75" bottom="0.75" header="0.3" footer="0.3"/>
  <pageSetup orientation="portrait" r:id="rId1"/>
  <ignoredErrors>
    <ignoredError sqref="AF65 AF63" unlockedFormula="1"/>
  </ignoredErrors>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0000000}">
          <x14:formula1>
            <xm:f>'E:\BKUP 12 JULIO\Documentos\DNBC\2023\PLANES Y PROGRAMAS\PLAN DE ACCIÓN\TRIMESTRE I y II\[PLAN DE ACCION DNBC 2023 A EVALUAR.xlsx]Listas'!#REF!</xm:f>
          </x14:formula1>
          <xm:sqref>H7:J7 O7</xm:sqref>
        </x14:dataValidation>
        <x14:dataValidation type="list" allowBlank="1" showInputMessage="1" showErrorMessage="1" xr:uid="{00000000-0002-0000-0100-000001000000}">
          <x14:formula1>
            <xm:f>LISTAS!$B$22:$B$25</xm:f>
          </x14:formula1>
          <xm:sqref>L20 L43:L57 L258:L280</xm:sqref>
        </x14:dataValidation>
        <x14:dataValidation type="list" allowBlank="1" showInputMessage="1" showErrorMessage="1" xr:uid="{00000000-0002-0000-0100-000002000000}">
          <x14:formula1>
            <xm:f>LISTAS!$B$50:$B$56</xm:f>
          </x14:formula1>
          <xm:sqref>AG8:AG280 AS8:AS280</xm:sqref>
        </x14:dataValidation>
        <x14:dataValidation type="list" allowBlank="1" showInputMessage="1" showErrorMessage="1" xr:uid="{00000000-0002-0000-0100-000003000000}">
          <x14:formula1>
            <xm:f>LISTAS!$B$37:$B$43</xm:f>
          </x14:formula1>
          <xm:sqref>N7:N280</xm:sqref>
        </x14:dataValidation>
        <x14:dataValidation type="list" allowBlank="1" showInputMessage="1" showErrorMessage="1" xr:uid="{00000000-0002-0000-0100-000004000000}">
          <x14:formula1>
            <xm:f>LISTAS!$E$30:$E$48</xm:f>
          </x14:formula1>
          <xm:sqref>O8:O280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E56"/>
  <sheetViews>
    <sheetView workbookViewId="0">
      <selection activeCell="B10" sqref="B10"/>
    </sheetView>
  </sheetViews>
  <sheetFormatPr baseColWidth="10" defaultColWidth="11.42578125" defaultRowHeight="15" x14ac:dyDescent="0.25"/>
  <cols>
    <col min="2" max="2" width="52" customWidth="1"/>
    <col min="3" max="3" width="14.85546875" customWidth="1"/>
    <col min="5" max="5" width="121.28515625" customWidth="1"/>
  </cols>
  <sheetData>
    <row r="1" spans="2:5" x14ac:dyDescent="0.25">
      <c r="B1" s="6" t="s">
        <v>1928</v>
      </c>
      <c r="E1" s="7" t="s">
        <v>1929</v>
      </c>
    </row>
    <row r="2" spans="2:5" x14ac:dyDescent="0.25">
      <c r="B2" s="8" t="s">
        <v>640</v>
      </c>
      <c r="E2" s="8" t="s">
        <v>681</v>
      </c>
    </row>
    <row r="3" spans="2:5" x14ac:dyDescent="0.25">
      <c r="B3" s="8" t="s">
        <v>626</v>
      </c>
      <c r="E3" s="8" t="s">
        <v>649</v>
      </c>
    </row>
    <row r="4" spans="2:5" x14ac:dyDescent="0.25">
      <c r="B4" s="8" t="s">
        <v>86</v>
      </c>
      <c r="E4" s="8" t="s">
        <v>87</v>
      </c>
    </row>
    <row r="5" spans="2:5" x14ac:dyDescent="0.25">
      <c r="B5" s="8" t="s">
        <v>440</v>
      </c>
      <c r="E5" s="8" t="s">
        <v>441</v>
      </c>
    </row>
    <row r="7" spans="2:5" x14ac:dyDescent="0.25">
      <c r="B7" s="9" t="s">
        <v>1930</v>
      </c>
      <c r="E7" s="10" t="s">
        <v>1931</v>
      </c>
    </row>
    <row r="8" spans="2:5" ht="45.75" customHeight="1" x14ac:dyDescent="0.25">
      <c r="B8" s="11" t="s">
        <v>752</v>
      </c>
      <c r="E8" s="8" t="s">
        <v>4</v>
      </c>
    </row>
    <row r="9" spans="2:5" ht="90.75" customHeight="1" x14ac:dyDescent="0.25">
      <c r="B9" s="12" t="s">
        <v>1081</v>
      </c>
      <c r="E9" s="8" t="s">
        <v>208</v>
      </c>
    </row>
    <row r="10" spans="2:5" ht="89.25" customHeight="1" x14ac:dyDescent="0.25">
      <c r="B10" s="12" t="s">
        <v>682</v>
      </c>
      <c r="E10" s="8" t="s">
        <v>11</v>
      </c>
    </row>
    <row r="11" spans="2:5" ht="56.25" customHeight="1" x14ac:dyDescent="0.25">
      <c r="B11" s="12" t="s">
        <v>650</v>
      </c>
      <c r="E11" s="8" t="s">
        <v>1932</v>
      </c>
    </row>
    <row r="12" spans="2:5" ht="60.75" customHeight="1" x14ac:dyDescent="0.25">
      <c r="B12" s="12" t="s">
        <v>994</v>
      </c>
      <c r="E12" s="8" t="s">
        <v>1933</v>
      </c>
    </row>
    <row r="13" spans="2:5" ht="69" customHeight="1" x14ac:dyDescent="0.25">
      <c r="B13" s="12" t="s">
        <v>88</v>
      </c>
      <c r="E13" s="8" t="s">
        <v>1934</v>
      </c>
    </row>
    <row r="14" spans="2:5" ht="39.75" customHeight="1" x14ac:dyDescent="0.25">
      <c r="B14" s="12" t="s">
        <v>1935</v>
      </c>
      <c r="E14" s="8" t="s">
        <v>1936</v>
      </c>
    </row>
    <row r="15" spans="2:5" ht="34.5" customHeight="1" x14ac:dyDescent="0.25">
      <c r="B15" s="12" t="s">
        <v>152</v>
      </c>
      <c r="E15" s="8" t="s">
        <v>1937</v>
      </c>
    </row>
    <row r="16" spans="2:5" ht="45.75" customHeight="1" x14ac:dyDescent="0.25">
      <c r="B16" s="12" t="s">
        <v>1690</v>
      </c>
      <c r="E16" s="8" t="s">
        <v>12</v>
      </c>
    </row>
    <row r="17" spans="2:5" ht="24" customHeight="1" x14ac:dyDescent="0.25">
      <c r="B17" s="12" t="s">
        <v>1938</v>
      </c>
      <c r="E17" s="8" t="s">
        <v>1082</v>
      </c>
    </row>
    <row r="18" spans="2:5" ht="21" customHeight="1" x14ac:dyDescent="0.25">
      <c r="B18" s="12" t="s">
        <v>432</v>
      </c>
      <c r="E18" s="8" t="s">
        <v>5</v>
      </c>
    </row>
    <row r="19" spans="2:5" ht="22.5" customHeight="1" x14ac:dyDescent="0.25">
      <c r="B19" s="12" t="s">
        <v>1939</v>
      </c>
      <c r="E19" s="8" t="s">
        <v>6</v>
      </c>
    </row>
    <row r="20" spans="2:5" x14ac:dyDescent="0.25">
      <c r="E20" s="8" t="s">
        <v>7</v>
      </c>
    </row>
    <row r="21" spans="2:5" x14ac:dyDescent="0.25">
      <c r="B21" s="9" t="s">
        <v>38</v>
      </c>
      <c r="E21" s="8" t="s">
        <v>8</v>
      </c>
    </row>
    <row r="22" spans="2:5" x14ac:dyDescent="0.25">
      <c r="B22" s="12" t="s">
        <v>89</v>
      </c>
      <c r="E22" s="8" t="s">
        <v>9</v>
      </c>
    </row>
    <row r="23" spans="2:5" x14ac:dyDescent="0.25">
      <c r="B23" s="12" t="s">
        <v>652</v>
      </c>
      <c r="E23" s="8" t="s">
        <v>1940</v>
      </c>
    </row>
    <row r="24" spans="2:5" x14ac:dyDescent="0.25">
      <c r="B24" s="12" t="s">
        <v>539</v>
      </c>
      <c r="E24" s="8" t="s">
        <v>1941</v>
      </c>
    </row>
    <row r="25" spans="2:5" x14ac:dyDescent="0.25">
      <c r="B25" s="12" t="s">
        <v>1750</v>
      </c>
      <c r="E25" s="8" t="s">
        <v>10</v>
      </c>
    </row>
    <row r="26" spans="2:5" x14ac:dyDescent="0.25">
      <c r="E26" s="8" t="s">
        <v>1942</v>
      </c>
    </row>
    <row r="27" spans="2:5" x14ac:dyDescent="0.25">
      <c r="B27" s="13" t="s">
        <v>42</v>
      </c>
    </row>
    <row r="28" spans="2:5" x14ac:dyDescent="0.25">
      <c r="B28" s="12" t="s">
        <v>1943</v>
      </c>
    </row>
    <row r="29" spans="2:5" x14ac:dyDescent="0.25">
      <c r="B29" s="12" t="s">
        <v>212</v>
      </c>
      <c r="E29" s="9" t="s">
        <v>1944</v>
      </c>
    </row>
    <row r="30" spans="2:5" x14ac:dyDescent="0.25">
      <c r="B30" s="12" t="s">
        <v>93</v>
      </c>
      <c r="E30" s="8" t="s">
        <v>1202</v>
      </c>
    </row>
    <row r="31" spans="2:5" x14ac:dyDescent="0.25">
      <c r="E31" s="8" t="s">
        <v>1361</v>
      </c>
    </row>
    <row r="32" spans="2:5" x14ac:dyDescent="0.25">
      <c r="B32" s="13" t="s">
        <v>49</v>
      </c>
      <c r="E32" s="8" t="s">
        <v>92</v>
      </c>
    </row>
    <row r="33" spans="2:5" x14ac:dyDescent="0.25">
      <c r="B33" s="12" t="s">
        <v>98</v>
      </c>
      <c r="E33" s="8" t="s">
        <v>126</v>
      </c>
    </row>
    <row r="34" spans="2:5" x14ac:dyDescent="0.25">
      <c r="B34" s="12" t="s">
        <v>119</v>
      </c>
      <c r="E34" s="8" t="s">
        <v>1636</v>
      </c>
    </row>
    <row r="35" spans="2:5" x14ac:dyDescent="0.25">
      <c r="E35" s="8" t="s">
        <v>1945</v>
      </c>
    </row>
    <row r="36" spans="2:5" x14ac:dyDescent="0.25">
      <c r="B36" s="13" t="s">
        <v>1946</v>
      </c>
      <c r="E36" s="8" t="s">
        <v>1693</v>
      </c>
    </row>
    <row r="37" spans="2:5" x14ac:dyDescent="0.25">
      <c r="B37" s="8" t="s">
        <v>1201</v>
      </c>
      <c r="E37" s="8" t="s">
        <v>1735</v>
      </c>
    </row>
    <row r="38" spans="2:5" x14ac:dyDescent="0.25">
      <c r="B38" s="8" t="s">
        <v>116</v>
      </c>
      <c r="E38" s="8" t="s">
        <v>1830</v>
      </c>
    </row>
    <row r="39" spans="2:5" x14ac:dyDescent="0.25">
      <c r="B39" s="8" t="s">
        <v>541</v>
      </c>
      <c r="E39" s="8" t="s">
        <v>1947</v>
      </c>
    </row>
    <row r="40" spans="2:5" x14ac:dyDescent="0.25">
      <c r="B40" s="8" t="s">
        <v>91</v>
      </c>
      <c r="E40" s="8" t="s">
        <v>542</v>
      </c>
    </row>
    <row r="41" spans="2:5" x14ac:dyDescent="0.25">
      <c r="B41" s="8" t="s">
        <v>210</v>
      </c>
      <c r="E41" s="8" t="s">
        <v>1948</v>
      </c>
    </row>
    <row r="42" spans="2:5" x14ac:dyDescent="0.25">
      <c r="B42" s="8" t="s">
        <v>444</v>
      </c>
      <c r="E42" s="8" t="s">
        <v>465</v>
      </c>
    </row>
    <row r="43" spans="2:5" x14ac:dyDescent="0.25">
      <c r="B43" s="8" t="s">
        <v>1750</v>
      </c>
      <c r="E43" s="8" t="s">
        <v>202</v>
      </c>
    </row>
    <row r="44" spans="2:5" x14ac:dyDescent="0.25">
      <c r="E44" s="8" t="s">
        <v>211</v>
      </c>
    </row>
    <row r="45" spans="2:5" x14ac:dyDescent="0.25">
      <c r="B45" s="13" t="s">
        <v>1949</v>
      </c>
      <c r="E45" s="8" t="s">
        <v>1950</v>
      </c>
    </row>
    <row r="46" spans="2:5" x14ac:dyDescent="0.25">
      <c r="B46" s="8" t="s">
        <v>1951</v>
      </c>
      <c r="E46" s="8" t="s">
        <v>154</v>
      </c>
    </row>
    <row r="47" spans="2:5" x14ac:dyDescent="0.25">
      <c r="B47" s="8" t="s">
        <v>1952</v>
      </c>
      <c r="E47" s="8" t="s">
        <v>445</v>
      </c>
    </row>
    <row r="48" spans="2:5" x14ac:dyDescent="0.25">
      <c r="E48" s="8" t="s">
        <v>1750</v>
      </c>
    </row>
    <row r="49" spans="2:3" x14ac:dyDescent="0.25">
      <c r="B49" s="951" t="s">
        <v>1953</v>
      </c>
      <c r="C49" s="952"/>
    </row>
    <row r="50" spans="2:3" x14ac:dyDescent="0.25">
      <c r="B50" s="8" t="s">
        <v>146</v>
      </c>
      <c r="C50" s="8" t="s">
        <v>1954</v>
      </c>
    </row>
    <row r="51" spans="2:3" x14ac:dyDescent="0.25">
      <c r="B51" s="8" t="s">
        <v>100</v>
      </c>
      <c r="C51" s="8" t="s">
        <v>1955</v>
      </c>
    </row>
    <row r="52" spans="2:3" x14ac:dyDescent="0.25">
      <c r="B52" s="8" t="s">
        <v>1956</v>
      </c>
      <c r="C52" s="8" t="s">
        <v>1957</v>
      </c>
    </row>
    <row r="53" spans="2:3" x14ac:dyDescent="0.25">
      <c r="B53" s="8" t="s">
        <v>1958</v>
      </c>
      <c r="C53" s="8" t="s">
        <v>1959</v>
      </c>
    </row>
    <row r="54" spans="2:3" x14ac:dyDescent="0.25">
      <c r="B54" s="8" t="s">
        <v>105</v>
      </c>
      <c r="C54" s="8" t="s">
        <v>1960</v>
      </c>
    </row>
    <row r="55" spans="2:3" x14ac:dyDescent="0.25">
      <c r="B55" s="8" t="s">
        <v>227</v>
      </c>
      <c r="C55" s="8" t="s">
        <v>1961</v>
      </c>
    </row>
    <row r="56" spans="2:3" x14ac:dyDescent="0.25">
      <c r="B56" s="8" t="s">
        <v>1962</v>
      </c>
      <c r="C56" s="8" t="s">
        <v>1963</v>
      </c>
    </row>
  </sheetData>
  <mergeCells count="1">
    <mergeCell ref="B49:C4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52"/>
  <sheetViews>
    <sheetView topLeftCell="F1" workbookViewId="0">
      <selection activeCell="A25" sqref="A25:S30"/>
    </sheetView>
  </sheetViews>
  <sheetFormatPr baseColWidth="10" defaultColWidth="11.42578125" defaultRowHeight="15" x14ac:dyDescent="0.25"/>
  <cols>
    <col min="3" max="3" width="15.42578125" customWidth="1"/>
    <col min="4" max="4" width="13.140625" customWidth="1"/>
    <col min="22" max="22" width="14.7109375" customWidth="1"/>
  </cols>
  <sheetData>
    <row r="1" spans="1:22" x14ac:dyDescent="0.25">
      <c r="A1" s="955" t="s">
        <v>1964</v>
      </c>
      <c r="B1" s="956"/>
      <c r="C1" s="956"/>
      <c r="D1" s="956"/>
      <c r="E1" s="956"/>
      <c r="F1" s="956"/>
      <c r="G1" s="956"/>
      <c r="H1" s="956"/>
      <c r="I1" s="956"/>
      <c r="J1" s="956"/>
      <c r="K1" s="956"/>
      <c r="L1" s="956"/>
      <c r="M1" s="956"/>
      <c r="N1" s="956"/>
      <c r="O1" s="956"/>
      <c r="P1" s="956"/>
      <c r="Q1" s="956"/>
      <c r="R1" s="956"/>
      <c r="S1" s="956"/>
      <c r="T1" s="956"/>
      <c r="U1" s="956"/>
      <c r="V1" s="957"/>
    </row>
    <row r="2" spans="1:22" x14ac:dyDescent="0.25">
      <c r="A2" s="955" t="s">
        <v>1965</v>
      </c>
      <c r="B2" s="956"/>
      <c r="C2" s="956"/>
      <c r="D2" s="956"/>
      <c r="E2" s="956"/>
      <c r="F2" s="956"/>
      <c r="G2" s="956"/>
      <c r="H2" s="956"/>
      <c r="I2" s="956"/>
      <c r="J2" s="956"/>
      <c r="K2" s="956"/>
      <c r="L2" s="956"/>
      <c r="M2" s="956"/>
      <c r="N2" s="956"/>
      <c r="O2" s="956"/>
      <c r="P2" s="956"/>
      <c r="Q2" s="956"/>
      <c r="R2" s="956"/>
      <c r="S2" s="956"/>
      <c r="T2" s="956"/>
      <c r="U2" s="956"/>
      <c r="V2" s="957"/>
    </row>
    <row r="3" spans="1:22" x14ac:dyDescent="0.25">
      <c r="A3" s="955" t="s">
        <v>1966</v>
      </c>
      <c r="B3" s="956"/>
      <c r="C3" s="956"/>
      <c r="D3" s="956"/>
      <c r="E3" s="956"/>
      <c r="F3" s="956"/>
      <c r="G3" s="956"/>
      <c r="H3" s="956"/>
      <c r="I3" s="956"/>
      <c r="J3" s="956"/>
      <c r="K3" s="956"/>
      <c r="L3" s="956"/>
      <c r="M3" s="956"/>
      <c r="N3" s="956"/>
      <c r="O3" s="956"/>
      <c r="P3" s="956"/>
      <c r="Q3" s="956"/>
      <c r="R3" s="956"/>
      <c r="S3" s="956"/>
      <c r="T3" s="956"/>
      <c r="U3" s="956"/>
      <c r="V3" s="957"/>
    </row>
    <row r="4" spans="1:22" x14ac:dyDescent="0.25">
      <c r="A4" s="958"/>
      <c r="B4" s="959"/>
      <c r="C4" s="959"/>
      <c r="D4" s="959"/>
      <c r="E4" s="959"/>
      <c r="F4" s="959"/>
      <c r="G4" s="959"/>
      <c r="H4" s="959"/>
      <c r="I4" s="959"/>
      <c r="J4" s="960"/>
      <c r="K4" s="955"/>
      <c r="L4" s="957"/>
      <c r="M4" s="955"/>
      <c r="N4" s="957"/>
      <c r="O4" s="955"/>
      <c r="P4" s="957"/>
      <c r="Q4" s="955"/>
      <c r="R4" s="957"/>
      <c r="S4" s="955"/>
      <c r="T4" s="957"/>
      <c r="U4" s="955"/>
      <c r="V4" s="957"/>
    </row>
    <row r="5" spans="1:22" ht="36" x14ac:dyDescent="0.25">
      <c r="A5" s="534" t="s">
        <v>1967</v>
      </c>
      <c r="B5" s="534" t="s">
        <v>1968</v>
      </c>
      <c r="C5" s="534" t="s">
        <v>1969</v>
      </c>
      <c r="D5" s="534" t="s">
        <v>1970</v>
      </c>
      <c r="E5" s="534" t="s">
        <v>1971</v>
      </c>
      <c r="F5" s="534" t="s">
        <v>1972</v>
      </c>
      <c r="G5" s="534" t="s">
        <v>1973</v>
      </c>
      <c r="H5" s="534" t="s">
        <v>1974</v>
      </c>
      <c r="I5" s="534" t="s">
        <v>43</v>
      </c>
      <c r="J5" s="534" t="s">
        <v>1975</v>
      </c>
      <c r="K5" s="534" t="s">
        <v>1976</v>
      </c>
      <c r="L5" s="534" t="s">
        <v>1977</v>
      </c>
      <c r="M5" s="534" t="s">
        <v>1978</v>
      </c>
      <c r="N5" s="534" t="s">
        <v>1979</v>
      </c>
      <c r="O5" s="534" t="s">
        <v>1980</v>
      </c>
      <c r="P5" s="534" t="s">
        <v>1981</v>
      </c>
      <c r="Q5" s="534" t="s">
        <v>1982</v>
      </c>
      <c r="R5" s="534" t="s">
        <v>1983</v>
      </c>
      <c r="S5" s="534" t="s">
        <v>1984</v>
      </c>
      <c r="T5" s="534" t="s">
        <v>1985</v>
      </c>
      <c r="U5" s="534" t="s">
        <v>1986</v>
      </c>
      <c r="V5" s="534" t="s">
        <v>1987</v>
      </c>
    </row>
    <row r="6" spans="1:22" ht="24" x14ac:dyDescent="0.25">
      <c r="A6" s="964">
        <v>1</v>
      </c>
      <c r="B6" s="971" t="s">
        <v>1988</v>
      </c>
      <c r="C6" s="953" t="s">
        <v>1989</v>
      </c>
      <c r="D6" s="953" t="s">
        <v>1990</v>
      </c>
      <c r="E6" s="953" t="s">
        <v>1991</v>
      </c>
      <c r="F6" s="953" t="s">
        <v>1992</v>
      </c>
      <c r="G6" s="953" t="s">
        <v>1993</v>
      </c>
      <c r="H6" s="953" t="s">
        <v>1994</v>
      </c>
      <c r="I6" s="953"/>
      <c r="J6" s="49" t="s">
        <v>1995</v>
      </c>
      <c r="K6" s="50">
        <v>1</v>
      </c>
      <c r="L6" s="51"/>
      <c r="M6" s="51"/>
      <c r="N6" s="51"/>
      <c r="O6" s="51"/>
      <c r="P6" s="51"/>
      <c r="Q6" s="51"/>
      <c r="R6" s="51"/>
      <c r="S6" s="51"/>
      <c r="T6" s="51"/>
      <c r="U6" s="51"/>
      <c r="V6" s="51"/>
    </row>
    <row r="7" spans="1:22" x14ac:dyDescent="0.25">
      <c r="A7" s="970"/>
      <c r="B7" s="972"/>
      <c r="C7" s="954"/>
      <c r="D7" s="969"/>
      <c r="E7" s="954"/>
      <c r="F7" s="954"/>
      <c r="G7" s="954"/>
      <c r="H7" s="954"/>
      <c r="I7" s="954"/>
      <c r="J7" s="52" t="s">
        <v>1996</v>
      </c>
      <c r="K7" s="53">
        <v>1</v>
      </c>
      <c r="L7" s="54"/>
      <c r="M7" s="53"/>
      <c r="N7" s="54"/>
      <c r="O7" s="54"/>
      <c r="P7" s="54"/>
      <c r="Q7" s="54"/>
      <c r="R7" s="54"/>
      <c r="S7" s="54"/>
      <c r="T7" s="54"/>
      <c r="U7" s="54"/>
      <c r="V7" s="54"/>
    </row>
    <row r="8" spans="1:22" ht="24" x14ac:dyDescent="0.25">
      <c r="A8" s="964">
        <v>2</v>
      </c>
      <c r="B8" s="966" t="s">
        <v>1997</v>
      </c>
      <c r="C8" s="968" t="s">
        <v>1998</v>
      </c>
      <c r="D8" s="953" t="s">
        <v>1990</v>
      </c>
      <c r="E8" s="968" t="s">
        <v>1991</v>
      </c>
      <c r="F8" s="968" t="s">
        <v>1992</v>
      </c>
      <c r="G8" s="953" t="s">
        <v>1993</v>
      </c>
      <c r="H8" s="968" t="s">
        <v>1999</v>
      </c>
      <c r="I8" s="968"/>
      <c r="J8" s="55" t="s">
        <v>1995</v>
      </c>
      <c r="K8" s="56"/>
      <c r="L8" s="56"/>
      <c r="M8" s="56"/>
      <c r="N8" s="56">
        <v>1</v>
      </c>
      <c r="O8" s="56"/>
      <c r="P8" s="56"/>
      <c r="Q8" s="56"/>
      <c r="R8" s="56">
        <v>1</v>
      </c>
      <c r="S8" s="56"/>
      <c r="T8" s="56"/>
      <c r="U8" s="56"/>
      <c r="V8" s="56">
        <v>1</v>
      </c>
    </row>
    <row r="9" spans="1:22" ht="54.95" customHeight="1" x14ac:dyDescent="0.25">
      <c r="A9" s="965"/>
      <c r="B9" s="967"/>
      <c r="C9" s="969"/>
      <c r="D9" s="969"/>
      <c r="E9" s="969"/>
      <c r="F9" s="969"/>
      <c r="G9" s="954"/>
      <c r="H9" s="969"/>
      <c r="I9" s="969"/>
      <c r="J9" s="52" t="s">
        <v>1996</v>
      </c>
      <c r="K9" s="57"/>
      <c r="L9" s="57"/>
      <c r="M9" s="57"/>
      <c r="N9" s="58"/>
      <c r="O9" s="57">
        <v>1</v>
      </c>
      <c r="P9" s="57"/>
      <c r="Q9" s="53"/>
      <c r="R9" s="53"/>
      <c r="S9" s="53"/>
      <c r="T9" s="53"/>
      <c r="U9" s="53"/>
      <c r="V9" s="53"/>
    </row>
    <row r="10" spans="1:22" x14ac:dyDescent="0.25">
      <c r="A10" s="973" t="s">
        <v>2000</v>
      </c>
      <c r="B10" s="974"/>
      <c r="C10" s="974"/>
      <c r="D10" s="974"/>
      <c r="E10" s="974"/>
      <c r="F10" s="974"/>
      <c r="G10" s="974"/>
      <c r="H10" s="974"/>
      <c r="I10" s="974"/>
      <c r="J10" s="975"/>
      <c r="K10" s="59">
        <v>2</v>
      </c>
      <c r="L10" s="59">
        <v>1</v>
      </c>
      <c r="M10" s="59">
        <v>1</v>
      </c>
      <c r="N10" s="59">
        <v>1</v>
      </c>
      <c r="O10" s="59">
        <v>1</v>
      </c>
      <c r="P10" s="59">
        <v>1</v>
      </c>
      <c r="Q10" s="59">
        <v>1</v>
      </c>
      <c r="R10" s="59">
        <v>1</v>
      </c>
      <c r="S10" s="59">
        <v>1</v>
      </c>
      <c r="T10" s="59">
        <v>1</v>
      </c>
      <c r="U10" s="59">
        <v>1</v>
      </c>
      <c r="V10" s="59">
        <v>1</v>
      </c>
    </row>
    <row r="11" spans="1:22" x14ac:dyDescent="0.25">
      <c r="A11" s="976" t="s">
        <v>2001</v>
      </c>
      <c r="B11" s="977"/>
      <c r="C11" s="977"/>
      <c r="D11" s="977"/>
      <c r="E11" s="977"/>
      <c r="F11" s="977"/>
      <c r="G11" s="977"/>
      <c r="H11" s="977"/>
      <c r="I11" s="977"/>
      <c r="J11" s="978"/>
      <c r="K11" s="59">
        <v>0</v>
      </c>
      <c r="L11" s="59">
        <v>0</v>
      </c>
      <c r="M11" s="59">
        <v>0</v>
      </c>
      <c r="N11" s="59">
        <v>0</v>
      </c>
      <c r="O11" s="59">
        <v>0</v>
      </c>
      <c r="P11" s="59">
        <v>0</v>
      </c>
      <c r="Q11" s="59">
        <v>0</v>
      </c>
      <c r="R11" s="59">
        <v>0</v>
      </c>
      <c r="S11" s="59">
        <v>0</v>
      </c>
      <c r="T11" s="59">
        <v>0</v>
      </c>
      <c r="U11" s="59">
        <v>0</v>
      </c>
      <c r="V11" s="59">
        <v>0</v>
      </c>
    </row>
    <row r="12" spans="1:22" x14ac:dyDescent="0.25">
      <c r="A12" s="976" t="s">
        <v>2002</v>
      </c>
      <c r="B12" s="977"/>
      <c r="C12" s="977"/>
      <c r="D12" s="977"/>
      <c r="E12" s="977"/>
      <c r="F12" s="977"/>
      <c r="G12" s="977"/>
      <c r="H12" s="977"/>
      <c r="I12" s="977"/>
      <c r="J12" s="978"/>
      <c r="K12" s="59">
        <v>0</v>
      </c>
      <c r="L12" s="59">
        <v>0</v>
      </c>
      <c r="M12" s="59">
        <v>0</v>
      </c>
      <c r="N12" s="59">
        <v>0</v>
      </c>
      <c r="O12" s="59">
        <v>0</v>
      </c>
      <c r="P12" s="59">
        <v>0</v>
      </c>
      <c r="Q12" s="59">
        <v>0</v>
      </c>
      <c r="R12" s="59">
        <v>0</v>
      </c>
      <c r="S12" s="59">
        <v>0</v>
      </c>
      <c r="T12" s="59">
        <v>0</v>
      </c>
      <c r="U12" s="59">
        <v>0</v>
      </c>
      <c r="V12" s="59">
        <v>0</v>
      </c>
    </row>
    <row r="13" spans="1:22" x14ac:dyDescent="0.25">
      <c r="A13" s="961" t="s">
        <v>2003</v>
      </c>
      <c r="B13" s="962"/>
      <c r="C13" s="962"/>
      <c r="D13" s="962"/>
      <c r="E13" s="962"/>
      <c r="F13" s="962"/>
      <c r="G13" s="962"/>
      <c r="H13" s="962"/>
      <c r="I13" s="962"/>
      <c r="J13" s="963"/>
      <c r="K13" s="60">
        <v>0</v>
      </c>
      <c r="L13" s="60">
        <v>0</v>
      </c>
      <c r="M13" s="60">
        <v>0</v>
      </c>
      <c r="N13" s="60">
        <v>0</v>
      </c>
      <c r="O13" s="60">
        <v>0</v>
      </c>
      <c r="P13" s="60">
        <v>0</v>
      </c>
      <c r="Q13" s="60">
        <v>0</v>
      </c>
      <c r="R13" s="60">
        <v>0</v>
      </c>
      <c r="S13" s="60">
        <v>0</v>
      </c>
      <c r="T13" s="60">
        <v>0</v>
      </c>
      <c r="U13" s="60">
        <v>0</v>
      </c>
      <c r="V13" s="60">
        <v>0</v>
      </c>
    </row>
    <row r="14" spans="1:22" x14ac:dyDescent="0.25">
      <c r="A14" s="979" t="s">
        <v>2004</v>
      </c>
      <c r="B14" s="980"/>
      <c r="C14" s="980"/>
      <c r="D14" s="980"/>
      <c r="E14" s="980"/>
      <c r="F14" s="981"/>
      <c r="G14" s="981"/>
      <c r="H14" s="981"/>
      <c r="I14" s="981"/>
      <c r="J14" s="982"/>
      <c r="K14" s="61">
        <v>0</v>
      </c>
      <c r="L14" s="61">
        <v>0</v>
      </c>
      <c r="M14" s="61">
        <v>0</v>
      </c>
      <c r="N14" s="61">
        <v>0</v>
      </c>
      <c r="O14" s="61">
        <v>0</v>
      </c>
      <c r="P14" s="61">
        <v>0</v>
      </c>
      <c r="Q14" s="61">
        <v>0</v>
      </c>
      <c r="R14" s="61">
        <v>0</v>
      </c>
      <c r="S14" s="61">
        <v>0</v>
      </c>
      <c r="T14" s="61">
        <v>0</v>
      </c>
      <c r="U14" s="61">
        <v>0</v>
      </c>
      <c r="V14" s="61">
        <v>0</v>
      </c>
    </row>
    <row r="15" spans="1:22" ht="15.75" thickBot="1" x14ac:dyDescent="0.3">
      <c r="A15" s="983" t="s">
        <v>2005</v>
      </c>
      <c r="B15" s="983"/>
      <c r="C15" s="983"/>
      <c r="D15" s="983"/>
      <c r="E15" s="62" t="s">
        <v>2006</v>
      </c>
      <c r="F15" s="984" t="s">
        <v>2007</v>
      </c>
      <c r="G15" s="984"/>
      <c r="H15" s="984"/>
      <c r="I15" s="984"/>
      <c r="J15" s="984"/>
      <c r="K15" s="63"/>
      <c r="L15" s="63"/>
      <c r="M15" s="63"/>
      <c r="N15" s="63"/>
      <c r="O15" s="63"/>
      <c r="P15" s="63"/>
      <c r="Q15" s="63"/>
      <c r="R15" s="63"/>
      <c r="S15" s="63"/>
      <c r="T15" s="63"/>
      <c r="U15" s="63"/>
      <c r="V15" s="63"/>
    </row>
    <row r="16" spans="1:22" ht="23.25" thickBot="1" x14ac:dyDescent="0.3">
      <c r="A16" s="983"/>
      <c r="B16" s="983"/>
      <c r="C16" s="983"/>
      <c r="D16" s="983"/>
      <c r="E16" s="64" t="s">
        <v>2008</v>
      </c>
      <c r="F16" s="984"/>
      <c r="G16" s="984"/>
      <c r="H16" s="984"/>
      <c r="I16" s="984"/>
      <c r="J16" s="984"/>
      <c r="K16" s="985">
        <v>1</v>
      </c>
      <c r="L16" s="986"/>
      <c r="M16" s="987"/>
      <c r="N16" s="985">
        <v>1</v>
      </c>
      <c r="O16" s="986"/>
      <c r="P16" s="987"/>
      <c r="Q16" s="985">
        <v>1</v>
      </c>
      <c r="R16" s="986"/>
      <c r="S16" s="986"/>
      <c r="T16" s="985">
        <v>1</v>
      </c>
      <c r="U16" s="986"/>
      <c r="V16" s="986"/>
    </row>
    <row r="17" spans="1:22" x14ac:dyDescent="0.25">
      <c r="A17" s="988" t="s">
        <v>1995</v>
      </c>
      <c r="B17" s="989"/>
      <c r="C17" s="50">
        <v>1</v>
      </c>
      <c r="D17" s="65"/>
      <c r="E17" s="65"/>
      <c r="F17" s="990"/>
      <c r="G17" s="990"/>
      <c r="H17" s="991"/>
      <c r="I17" s="992"/>
      <c r="J17" s="66"/>
      <c r="K17" s="67"/>
      <c r="L17" s="67">
        <f>+K16/4</f>
        <v>0.25</v>
      </c>
      <c r="M17" s="66"/>
      <c r="N17" s="66"/>
      <c r="O17" s="66">
        <f>+N16/4</f>
        <v>0.25</v>
      </c>
      <c r="P17" s="66"/>
      <c r="Q17" s="66"/>
      <c r="R17" s="66">
        <f>+Q16/4</f>
        <v>0.25</v>
      </c>
      <c r="S17" s="66"/>
      <c r="T17" s="993">
        <v>0.25</v>
      </c>
      <c r="U17" s="993"/>
      <c r="V17" s="68"/>
    </row>
    <row r="18" spans="1:22" x14ac:dyDescent="0.25">
      <c r="A18" s="994" t="s">
        <v>1996</v>
      </c>
      <c r="B18" s="995"/>
      <c r="C18" s="69">
        <v>2</v>
      </c>
      <c r="D18" s="65"/>
      <c r="E18" s="65"/>
      <c r="F18" s="990"/>
      <c r="G18" s="990"/>
      <c r="H18" s="991"/>
      <c r="I18" s="992"/>
      <c r="J18" s="65"/>
      <c r="K18" s="67"/>
      <c r="L18" s="67"/>
      <c r="M18" s="65"/>
      <c r="N18" s="65"/>
      <c r="O18" s="65"/>
      <c r="P18" s="65"/>
      <c r="Q18" s="65"/>
      <c r="R18" s="65"/>
      <c r="S18" s="65"/>
      <c r="T18" s="65"/>
      <c r="U18" s="65"/>
      <c r="V18" s="65"/>
    </row>
    <row r="19" spans="1:22" x14ac:dyDescent="0.25">
      <c r="A19" s="994" t="s">
        <v>2009</v>
      </c>
      <c r="B19" s="995"/>
      <c r="C19" s="70">
        <v>3</v>
      </c>
      <c r="D19" s="65"/>
      <c r="E19" s="65"/>
      <c r="F19" s="990"/>
      <c r="G19" s="990"/>
      <c r="H19" s="991"/>
      <c r="I19" s="992"/>
      <c r="J19" s="65"/>
      <c r="K19" s="65"/>
      <c r="L19" s="65"/>
      <c r="M19" s="65"/>
      <c r="N19" s="65"/>
      <c r="O19" s="65"/>
      <c r="P19" s="65"/>
      <c r="Q19" s="65"/>
      <c r="R19" s="65"/>
      <c r="S19" s="65"/>
      <c r="T19" s="65"/>
      <c r="U19" s="65"/>
      <c r="V19" s="65"/>
    </row>
    <row r="20" spans="1:22" x14ac:dyDescent="0.25">
      <c r="A20" s="994" t="s">
        <v>2010</v>
      </c>
      <c r="B20" s="995"/>
      <c r="C20" s="71"/>
      <c r="D20" s="532"/>
      <c r="E20" s="65"/>
      <c r="F20" s="990"/>
      <c r="G20" s="990"/>
      <c r="H20" s="991"/>
      <c r="I20" s="992"/>
      <c r="J20" s="65"/>
      <c r="K20" s="65"/>
      <c r="L20" s="65"/>
      <c r="M20" s="65"/>
      <c r="N20" s="65"/>
      <c r="O20" s="65"/>
      <c r="P20" s="65"/>
      <c r="Q20" s="65"/>
      <c r="R20" s="65"/>
      <c r="S20" s="65"/>
      <c r="T20" s="65"/>
      <c r="U20" s="65"/>
      <c r="V20" s="65"/>
    </row>
    <row r="21" spans="1:22" x14ac:dyDescent="0.25">
      <c r="A21" s="72"/>
      <c r="B21" s="65"/>
      <c r="C21" s="65"/>
      <c r="D21" s="65"/>
      <c r="E21" s="65"/>
      <c r="F21" s="65"/>
      <c r="G21" s="73"/>
      <c r="H21" s="73"/>
      <c r="I21" s="65"/>
      <c r="J21" s="65"/>
      <c r="K21" s="65"/>
      <c r="L21" s="65"/>
      <c r="M21" s="65"/>
      <c r="N21" s="65"/>
      <c r="O21" s="65"/>
      <c r="P21" s="65"/>
      <c r="Q21" s="65"/>
      <c r="R21" s="65"/>
      <c r="S21" s="65"/>
      <c r="T21" s="65"/>
      <c r="U21" s="65"/>
      <c r="V21" s="65"/>
    </row>
    <row r="22" spans="1:22" ht="15.75" thickBot="1" x14ac:dyDescent="0.3">
      <c r="A22" s="1008"/>
      <c r="B22" s="1008"/>
      <c r="C22" s="1008"/>
      <c r="D22" s="1008"/>
      <c r="E22" s="1008"/>
      <c r="F22" s="1008"/>
      <c r="G22" s="1008"/>
      <c r="H22" s="1008"/>
      <c r="I22" s="1008"/>
      <c r="J22" s="1008"/>
      <c r="K22" s="1008"/>
      <c r="L22" s="1008"/>
      <c r="M22" s="1008"/>
      <c r="N22" s="1008"/>
      <c r="O22" s="1008"/>
      <c r="P22" s="1008"/>
      <c r="Q22" s="1008"/>
      <c r="R22" s="1008"/>
      <c r="S22" s="1008"/>
      <c r="T22" s="1008"/>
      <c r="U22" s="1008"/>
      <c r="V22" s="1008"/>
    </row>
    <row r="23" spans="1:22" x14ac:dyDescent="0.25">
      <c r="A23" s="1009" t="s">
        <v>2011</v>
      </c>
      <c r="B23" s="1010"/>
      <c r="C23" s="1010"/>
      <c r="D23" s="1010"/>
      <c r="E23" s="1010"/>
      <c r="F23" s="1010"/>
      <c r="G23" s="1010"/>
      <c r="H23" s="1010"/>
      <c r="I23" s="1010"/>
      <c r="J23" s="1010"/>
      <c r="K23" s="1010"/>
      <c r="L23" s="1010"/>
      <c r="M23" s="1010"/>
      <c r="N23" s="1010"/>
      <c r="O23" s="1010"/>
      <c r="P23" s="1010"/>
      <c r="Q23" s="1010"/>
      <c r="R23" s="1010"/>
      <c r="S23" s="1010"/>
      <c r="T23" s="1008"/>
      <c r="U23" s="1008"/>
      <c r="V23" s="1008"/>
    </row>
    <row r="24" spans="1:22" x14ac:dyDescent="0.25">
      <c r="A24" s="1011"/>
      <c r="B24" s="1012"/>
      <c r="C24" s="1012"/>
      <c r="D24" s="1012"/>
      <c r="E24" s="1012"/>
      <c r="F24" s="1012"/>
      <c r="G24" s="1012"/>
      <c r="H24" s="1012"/>
      <c r="I24" s="1012"/>
      <c r="J24" s="1012"/>
      <c r="K24" s="1012"/>
      <c r="L24" s="1012"/>
      <c r="M24" s="1012"/>
      <c r="N24" s="1012"/>
      <c r="O24" s="1012"/>
      <c r="P24" s="1012"/>
      <c r="Q24" s="1012"/>
      <c r="R24" s="1012"/>
      <c r="S24" s="1012"/>
      <c r="T24" s="1008"/>
      <c r="U24" s="1008"/>
      <c r="V24" s="1008"/>
    </row>
    <row r="25" spans="1:22" x14ac:dyDescent="0.25">
      <c r="A25" s="1013"/>
      <c r="B25" s="1014"/>
      <c r="C25" s="1014"/>
      <c r="D25" s="1014"/>
      <c r="E25" s="1014"/>
      <c r="F25" s="1014"/>
      <c r="G25" s="1014"/>
      <c r="H25" s="1014"/>
      <c r="I25" s="1014"/>
      <c r="J25" s="1014"/>
      <c r="K25" s="1014"/>
      <c r="L25" s="1014"/>
      <c r="M25" s="1014"/>
      <c r="N25" s="1014"/>
      <c r="O25" s="1014"/>
      <c r="P25" s="1014"/>
      <c r="Q25" s="1014"/>
      <c r="R25" s="1014"/>
      <c r="S25" s="1014"/>
      <c r="T25" s="1008"/>
      <c r="U25" s="1008"/>
      <c r="V25" s="1008"/>
    </row>
    <row r="26" spans="1:22" x14ac:dyDescent="0.25">
      <c r="A26" s="1013"/>
      <c r="B26" s="1014"/>
      <c r="C26" s="1014"/>
      <c r="D26" s="1014"/>
      <c r="E26" s="1014"/>
      <c r="F26" s="1014"/>
      <c r="G26" s="1014"/>
      <c r="H26" s="1014"/>
      <c r="I26" s="1014"/>
      <c r="J26" s="1014"/>
      <c r="K26" s="1014"/>
      <c r="L26" s="1014"/>
      <c r="M26" s="1014"/>
      <c r="N26" s="1014"/>
      <c r="O26" s="1014"/>
      <c r="P26" s="1014"/>
      <c r="Q26" s="1014"/>
      <c r="R26" s="1014"/>
      <c r="S26" s="1014"/>
      <c r="T26" s="1008"/>
      <c r="U26" s="1008"/>
      <c r="V26" s="1008"/>
    </row>
    <row r="27" spans="1:22" x14ac:dyDescent="0.25">
      <c r="A27" s="1013"/>
      <c r="B27" s="1014"/>
      <c r="C27" s="1014"/>
      <c r="D27" s="1014"/>
      <c r="E27" s="1014"/>
      <c r="F27" s="1014"/>
      <c r="G27" s="1014"/>
      <c r="H27" s="1014"/>
      <c r="I27" s="1014"/>
      <c r="J27" s="1014"/>
      <c r="K27" s="1014"/>
      <c r="L27" s="1014"/>
      <c r="M27" s="1014"/>
      <c r="N27" s="1014"/>
      <c r="O27" s="1014"/>
      <c r="P27" s="1014"/>
      <c r="Q27" s="1014"/>
      <c r="R27" s="1014"/>
      <c r="S27" s="1014"/>
      <c r="T27" s="1008"/>
      <c r="U27" s="1008"/>
      <c r="V27" s="1008"/>
    </row>
    <row r="28" spans="1:22" x14ac:dyDescent="0.25">
      <c r="A28" s="1013"/>
      <c r="B28" s="1014"/>
      <c r="C28" s="1014"/>
      <c r="D28" s="1014"/>
      <c r="E28" s="1014"/>
      <c r="F28" s="1014"/>
      <c r="G28" s="1014"/>
      <c r="H28" s="1014"/>
      <c r="I28" s="1014"/>
      <c r="J28" s="1014"/>
      <c r="K28" s="1014"/>
      <c r="L28" s="1014"/>
      <c r="M28" s="1014"/>
      <c r="N28" s="1014"/>
      <c r="O28" s="1014"/>
      <c r="P28" s="1014"/>
      <c r="Q28" s="1014"/>
      <c r="R28" s="1014"/>
      <c r="S28" s="1014"/>
      <c r="T28" s="1008"/>
      <c r="U28" s="1008"/>
      <c r="V28" s="1008"/>
    </row>
    <row r="29" spans="1:22" x14ac:dyDescent="0.25">
      <c r="A29" s="1013"/>
      <c r="B29" s="1014"/>
      <c r="C29" s="1014"/>
      <c r="D29" s="1014"/>
      <c r="E29" s="1014"/>
      <c r="F29" s="1014"/>
      <c r="G29" s="1014"/>
      <c r="H29" s="1014"/>
      <c r="I29" s="1014"/>
      <c r="J29" s="1014"/>
      <c r="K29" s="1014"/>
      <c r="L29" s="1014"/>
      <c r="M29" s="1014"/>
      <c r="N29" s="1014"/>
      <c r="O29" s="1014"/>
      <c r="P29" s="1014"/>
      <c r="Q29" s="1014"/>
      <c r="R29" s="1014"/>
      <c r="S29" s="1014"/>
      <c r="T29" s="1008"/>
      <c r="U29" s="1008"/>
      <c r="V29" s="1008"/>
    </row>
    <row r="30" spans="1:22" x14ac:dyDescent="0.25">
      <c r="A30" s="1013"/>
      <c r="B30" s="1014"/>
      <c r="C30" s="1014"/>
      <c r="D30" s="1014"/>
      <c r="E30" s="1014"/>
      <c r="F30" s="1014"/>
      <c r="G30" s="1014"/>
      <c r="H30" s="1014"/>
      <c r="I30" s="1014"/>
      <c r="J30" s="1014"/>
      <c r="K30" s="1014"/>
      <c r="L30" s="1014"/>
      <c r="M30" s="1014"/>
      <c r="N30" s="1014"/>
      <c r="O30" s="1014"/>
      <c r="P30" s="1014"/>
      <c r="Q30" s="1014"/>
      <c r="R30" s="1014"/>
      <c r="S30" s="1014"/>
      <c r="T30" s="1008"/>
      <c r="U30" s="1008"/>
      <c r="V30" s="1008"/>
    </row>
    <row r="31" spans="1:22" ht="15.75" thickBot="1" x14ac:dyDescent="0.3">
      <c r="A31" s="1015"/>
      <c r="B31" s="1015"/>
      <c r="C31" s="1015"/>
      <c r="D31" s="1015"/>
      <c r="E31" s="1015"/>
      <c r="F31" s="1015"/>
      <c r="G31" s="1015"/>
      <c r="H31" s="1015"/>
      <c r="I31" s="1015"/>
      <c r="J31" s="1015"/>
      <c r="K31" s="1015"/>
      <c r="L31" s="1015"/>
      <c r="M31" s="1015"/>
      <c r="N31" s="1015"/>
      <c r="O31" s="1015"/>
      <c r="P31" s="1015"/>
      <c r="Q31" s="1015"/>
      <c r="R31" s="1015"/>
      <c r="S31" s="1015"/>
      <c r="T31" s="1015"/>
      <c r="U31" s="1015"/>
      <c r="V31" s="1015"/>
    </row>
    <row r="32" spans="1:22" ht="15.75" thickBot="1" x14ac:dyDescent="0.3">
      <c r="A32" s="1016" t="s">
        <v>2012</v>
      </c>
      <c r="B32" s="1017"/>
      <c r="C32" s="1017"/>
      <c r="D32" s="1017"/>
      <c r="E32" s="1017"/>
      <c r="F32" s="1017"/>
      <c r="G32" s="1017"/>
      <c r="H32" s="1017"/>
      <c r="I32" s="1017"/>
      <c r="J32" s="1017"/>
      <c r="K32" s="74"/>
      <c r="L32" s="74"/>
      <c r="M32" s="74"/>
      <c r="N32" s="74"/>
      <c r="O32" s="74"/>
      <c r="P32" s="74"/>
      <c r="Q32" s="74"/>
      <c r="R32" s="74"/>
      <c r="S32" s="74"/>
      <c r="T32" s="75"/>
      <c r="U32" s="75"/>
      <c r="V32" s="75"/>
    </row>
    <row r="33" spans="1:22" x14ac:dyDescent="0.25">
      <c r="A33" s="996"/>
      <c r="B33" s="997"/>
      <c r="C33" s="997"/>
      <c r="D33" s="997"/>
      <c r="E33" s="997"/>
      <c r="F33" s="997"/>
      <c r="G33" s="997"/>
      <c r="H33" s="997"/>
      <c r="I33" s="997"/>
      <c r="J33" s="997"/>
      <c r="K33" s="74"/>
      <c r="L33" s="74"/>
      <c r="M33" s="74"/>
      <c r="N33" s="74"/>
      <c r="O33" s="74"/>
      <c r="P33" s="74"/>
      <c r="Q33" s="74"/>
      <c r="R33" s="74"/>
      <c r="S33" s="74"/>
      <c r="T33" s="75"/>
      <c r="U33" s="75"/>
      <c r="V33" s="75"/>
    </row>
    <row r="34" spans="1:22" x14ac:dyDescent="0.25">
      <c r="A34" s="998"/>
      <c r="B34" s="999"/>
      <c r="C34" s="999"/>
      <c r="D34" s="999"/>
      <c r="E34" s="999"/>
      <c r="F34" s="999"/>
      <c r="G34" s="999"/>
      <c r="H34" s="999"/>
      <c r="I34" s="999"/>
      <c r="J34" s="999"/>
      <c r="K34" s="75"/>
      <c r="L34" s="75"/>
      <c r="M34" s="75"/>
      <c r="N34" s="75"/>
      <c r="O34" s="75"/>
      <c r="P34" s="75"/>
      <c r="Q34" s="75"/>
      <c r="R34" s="75"/>
      <c r="S34" s="75"/>
      <c r="T34" s="75"/>
      <c r="U34" s="75"/>
      <c r="V34" s="75"/>
    </row>
    <row r="35" spans="1:22" x14ac:dyDescent="0.25">
      <c r="A35" s="998"/>
      <c r="B35" s="999"/>
      <c r="C35" s="999"/>
      <c r="D35" s="999"/>
      <c r="E35" s="999"/>
      <c r="F35" s="999"/>
      <c r="G35" s="999"/>
      <c r="H35" s="999"/>
      <c r="I35" s="999"/>
      <c r="J35" s="999"/>
      <c r="K35" s="75"/>
      <c r="L35" s="75"/>
      <c r="M35" s="75"/>
      <c r="N35" s="75"/>
      <c r="O35" s="75"/>
      <c r="P35" s="75"/>
      <c r="Q35" s="75"/>
      <c r="R35" s="75"/>
      <c r="S35" s="75"/>
      <c r="T35" s="75"/>
      <c r="U35" s="75"/>
      <c r="V35" s="75"/>
    </row>
    <row r="36" spans="1:22" x14ac:dyDescent="0.25">
      <c r="A36" s="998"/>
      <c r="B36" s="999"/>
      <c r="C36" s="999"/>
      <c r="D36" s="999"/>
      <c r="E36" s="999"/>
      <c r="F36" s="999"/>
      <c r="G36" s="999"/>
      <c r="H36" s="999"/>
      <c r="I36" s="999"/>
      <c r="J36" s="999"/>
      <c r="K36" s="75"/>
      <c r="L36" s="75"/>
      <c r="M36" s="75"/>
      <c r="N36" s="75"/>
      <c r="O36" s="75"/>
      <c r="P36" s="75"/>
      <c r="Q36" s="75"/>
      <c r="R36" s="75"/>
      <c r="S36" s="75"/>
      <c r="T36" s="75"/>
      <c r="U36" s="75"/>
      <c r="V36" s="75"/>
    </row>
    <row r="37" spans="1:22" x14ac:dyDescent="0.25">
      <c r="A37" s="998"/>
      <c r="B37" s="999"/>
      <c r="C37" s="999"/>
      <c r="D37" s="999"/>
      <c r="E37" s="999"/>
      <c r="F37" s="999"/>
      <c r="G37" s="999"/>
      <c r="H37" s="999"/>
      <c r="I37" s="999"/>
      <c r="J37" s="999"/>
      <c r="K37" s="75"/>
      <c r="L37" s="75"/>
      <c r="M37" s="75"/>
      <c r="N37" s="75"/>
      <c r="O37" s="75"/>
      <c r="P37" s="75"/>
      <c r="Q37" s="75"/>
      <c r="R37" s="75"/>
      <c r="S37" s="75"/>
      <c r="T37" s="75"/>
      <c r="U37" s="75"/>
      <c r="V37" s="75"/>
    </row>
    <row r="38" spans="1:22" x14ac:dyDescent="0.25">
      <c r="A38" s="998"/>
      <c r="B38" s="999"/>
      <c r="C38" s="999"/>
      <c r="D38" s="999"/>
      <c r="E38" s="999"/>
      <c r="F38" s="999"/>
      <c r="G38" s="999"/>
      <c r="H38" s="999"/>
      <c r="I38" s="999"/>
      <c r="J38" s="999"/>
      <c r="K38" s="75"/>
      <c r="L38" s="75"/>
      <c r="M38" s="75"/>
      <c r="N38" s="1002" t="s">
        <v>2013</v>
      </c>
      <c r="O38" s="1002"/>
      <c r="P38" s="1003"/>
      <c r="Q38" s="1003"/>
      <c r="R38" s="1003"/>
      <c r="S38" s="1003"/>
      <c r="T38" s="75"/>
      <c r="U38" s="75"/>
      <c r="V38" s="75"/>
    </row>
    <row r="39" spans="1:22" x14ac:dyDescent="0.25">
      <c r="A39" s="998"/>
      <c r="B39" s="999"/>
      <c r="C39" s="999"/>
      <c r="D39" s="999"/>
      <c r="E39" s="999"/>
      <c r="F39" s="999"/>
      <c r="G39" s="999"/>
      <c r="H39" s="999"/>
      <c r="I39" s="999"/>
      <c r="J39" s="999"/>
      <c r="K39" s="75"/>
      <c r="L39" s="75"/>
      <c r="M39" s="75"/>
      <c r="N39" s="75"/>
      <c r="O39" s="75"/>
      <c r="P39" s="75"/>
      <c r="Q39" s="75"/>
      <c r="R39" s="75"/>
      <c r="S39" s="75"/>
      <c r="T39" s="75"/>
      <c r="U39" s="75"/>
      <c r="V39" s="75"/>
    </row>
    <row r="40" spans="1:22" x14ac:dyDescent="0.25">
      <c r="A40" s="998"/>
      <c r="B40" s="999"/>
      <c r="C40" s="999"/>
      <c r="D40" s="999"/>
      <c r="E40" s="999"/>
      <c r="F40" s="999"/>
      <c r="G40" s="999"/>
      <c r="H40" s="999"/>
      <c r="I40" s="999"/>
      <c r="J40" s="999"/>
      <c r="K40" s="75"/>
      <c r="L40" s="75"/>
      <c r="M40" s="75"/>
      <c r="N40" s="75"/>
      <c r="O40" s="75"/>
      <c r="P40" s="75"/>
      <c r="Q40" s="75"/>
      <c r="R40" s="75"/>
      <c r="S40" s="75"/>
      <c r="T40" s="75"/>
      <c r="U40" s="75"/>
      <c r="V40" s="75"/>
    </row>
    <row r="41" spans="1:22" x14ac:dyDescent="0.25">
      <c r="A41" s="998"/>
      <c r="B41" s="999"/>
      <c r="C41" s="999"/>
      <c r="D41" s="999"/>
      <c r="E41" s="999"/>
      <c r="F41" s="999"/>
      <c r="G41" s="999"/>
      <c r="H41" s="999"/>
      <c r="I41" s="999"/>
      <c r="J41" s="999"/>
      <c r="K41" s="75"/>
      <c r="L41" s="75"/>
      <c r="M41" s="75"/>
      <c r="N41" s="75"/>
      <c r="O41" s="75"/>
      <c r="P41" s="75"/>
      <c r="Q41" s="75"/>
      <c r="R41" s="75"/>
      <c r="S41" s="75"/>
      <c r="T41" s="75"/>
      <c r="U41" s="75"/>
      <c r="V41" s="75"/>
    </row>
    <row r="42" spans="1:22" x14ac:dyDescent="0.25">
      <c r="A42" s="998"/>
      <c r="B42" s="999"/>
      <c r="C42" s="999"/>
      <c r="D42" s="999"/>
      <c r="E42" s="999"/>
      <c r="F42" s="999"/>
      <c r="G42" s="999"/>
      <c r="H42" s="999"/>
      <c r="I42" s="999"/>
      <c r="J42" s="999"/>
      <c r="K42" s="75"/>
      <c r="L42" s="75"/>
      <c r="M42" s="75"/>
      <c r="N42" s="75"/>
      <c r="O42" s="75"/>
      <c r="P42" s="75"/>
      <c r="Q42" s="75"/>
      <c r="R42" s="75"/>
      <c r="S42" s="75"/>
      <c r="T42" s="75"/>
      <c r="U42" s="75"/>
      <c r="V42" s="75"/>
    </row>
    <row r="43" spans="1:22" x14ac:dyDescent="0.25">
      <c r="A43" s="998"/>
      <c r="B43" s="999"/>
      <c r="C43" s="999"/>
      <c r="D43" s="999"/>
      <c r="E43" s="999"/>
      <c r="F43" s="999"/>
      <c r="G43" s="999"/>
      <c r="H43" s="999"/>
      <c r="I43" s="999"/>
      <c r="J43" s="999"/>
      <c r="K43" s="75"/>
      <c r="L43" s="75"/>
      <c r="M43" s="75"/>
      <c r="N43" s="75"/>
      <c r="O43" s="75"/>
      <c r="P43" s="75"/>
      <c r="Q43" s="75"/>
      <c r="R43" s="75"/>
      <c r="S43" s="75"/>
      <c r="T43" s="75"/>
      <c r="U43" s="75"/>
      <c r="V43" s="75"/>
    </row>
    <row r="44" spans="1:22" x14ac:dyDescent="0.25">
      <c r="A44" s="998"/>
      <c r="B44" s="999"/>
      <c r="C44" s="999"/>
      <c r="D44" s="999"/>
      <c r="E44" s="999"/>
      <c r="F44" s="999"/>
      <c r="G44" s="999"/>
      <c r="H44" s="999"/>
      <c r="I44" s="999"/>
      <c r="J44" s="999"/>
      <c r="K44" s="75"/>
      <c r="L44" s="75"/>
      <c r="M44" s="75"/>
      <c r="N44" s="75"/>
      <c r="O44" s="75"/>
      <c r="P44" s="75"/>
      <c r="Q44" s="75"/>
      <c r="R44" s="75"/>
      <c r="S44" s="75"/>
      <c r="T44" s="75"/>
      <c r="U44" s="75"/>
      <c r="V44" s="75"/>
    </row>
    <row r="45" spans="1:22" x14ac:dyDescent="0.25">
      <c r="A45" s="998"/>
      <c r="B45" s="999"/>
      <c r="C45" s="999"/>
      <c r="D45" s="999"/>
      <c r="E45" s="999"/>
      <c r="F45" s="999"/>
      <c r="G45" s="999"/>
      <c r="H45" s="999"/>
      <c r="I45" s="999"/>
      <c r="J45" s="999"/>
      <c r="K45" s="75"/>
      <c r="L45" s="75"/>
      <c r="M45" s="75"/>
      <c r="N45" s="75"/>
      <c r="O45" s="75"/>
      <c r="P45" s="75"/>
      <c r="Q45" s="75"/>
      <c r="R45" s="75"/>
      <c r="S45" s="75"/>
      <c r="T45" s="75"/>
      <c r="U45" s="75"/>
      <c r="V45" s="75"/>
    </row>
    <row r="46" spans="1:22" x14ac:dyDescent="0.25">
      <c r="A46" s="998"/>
      <c r="B46" s="999"/>
      <c r="C46" s="999"/>
      <c r="D46" s="999"/>
      <c r="E46" s="999"/>
      <c r="F46" s="999"/>
      <c r="G46" s="999"/>
      <c r="H46" s="999"/>
      <c r="I46" s="999"/>
      <c r="J46" s="999"/>
      <c r="K46" s="75"/>
      <c r="L46" s="75"/>
      <c r="M46" s="75"/>
      <c r="N46" s="75"/>
      <c r="O46" s="75"/>
      <c r="P46" s="75"/>
      <c r="Q46" s="75"/>
      <c r="R46" s="75"/>
      <c r="S46" s="75"/>
      <c r="T46" s="75"/>
      <c r="U46" s="75"/>
      <c r="V46" s="75"/>
    </row>
    <row r="47" spans="1:22" x14ac:dyDescent="0.25">
      <c r="A47" s="998"/>
      <c r="B47" s="999"/>
      <c r="C47" s="999"/>
      <c r="D47" s="999"/>
      <c r="E47" s="999"/>
      <c r="F47" s="999"/>
      <c r="G47" s="999"/>
      <c r="H47" s="999"/>
      <c r="I47" s="999"/>
      <c r="J47" s="999"/>
      <c r="K47" s="75"/>
      <c r="L47" s="75"/>
      <c r="M47" s="75"/>
      <c r="N47" s="75"/>
      <c r="O47" s="75"/>
      <c r="P47" s="75"/>
      <c r="Q47" s="75"/>
      <c r="R47" s="75"/>
      <c r="S47" s="75"/>
      <c r="T47" s="75"/>
      <c r="U47" s="75"/>
      <c r="V47" s="75"/>
    </row>
    <row r="48" spans="1:22" x14ac:dyDescent="0.25">
      <c r="A48" s="998"/>
      <c r="B48" s="999"/>
      <c r="C48" s="999"/>
      <c r="D48" s="999"/>
      <c r="E48" s="999"/>
      <c r="F48" s="999"/>
      <c r="G48" s="999"/>
      <c r="H48" s="999"/>
      <c r="I48" s="999"/>
      <c r="J48" s="999"/>
      <c r="K48" s="75"/>
      <c r="L48" s="75"/>
      <c r="M48" s="75"/>
      <c r="N48" s="75"/>
      <c r="O48" s="75"/>
      <c r="P48" s="75"/>
      <c r="Q48" s="75"/>
      <c r="R48" s="75"/>
      <c r="S48" s="75"/>
      <c r="T48" s="75"/>
      <c r="U48" s="75"/>
      <c r="V48" s="75"/>
    </row>
    <row r="49" spans="1:22" x14ac:dyDescent="0.25">
      <c r="A49" s="1000"/>
      <c r="B49" s="1001"/>
      <c r="C49" s="1001"/>
      <c r="D49" s="1001"/>
      <c r="E49" s="1001"/>
      <c r="F49" s="1001"/>
      <c r="G49" s="1001"/>
      <c r="H49" s="1001"/>
      <c r="I49" s="1001"/>
      <c r="J49" s="1001"/>
      <c r="K49" s="75"/>
      <c r="L49" s="75"/>
      <c r="M49" s="75"/>
      <c r="N49" s="75"/>
      <c r="O49" s="75"/>
      <c r="P49" s="75"/>
      <c r="Q49" s="75"/>
      <c r="R49" s="75"/>
      <c r="S49" s="75"/>
      <c r="T49" s="75"/>
      <c r="U49" s="75"/>
      <c r="V49" s="75"/>
    </row>
    <row r="50" spans="1:22" x14ac:dyDescent="0.25">
      <c r="A50" s="1004"/>
      <c r="B50" s="1005"/>
      <c r="C50" s="1005"/>
      <c r="D50" s="1005"/>
      <c r="E50" s="1005"/>
      <c r="F50" s="1005"/>
      <c r="G50" s="1005"/>
      <c r="H50" s="1005"/>
      <c r="I50" s="1005"/>
      <c r="J50" s="1005"/>
      <c r="K50" s="75"/>
      <c r="L50" s="75"/>
      <c r="M50" s="75"/>
      <c r="N50" s="75"/>
      <c r="O50" s="75"/>
      <c r="P50" s="75"/>
      <c r="Q50" s="75"/>
      <c r="R50" s="75"/>
      <c r="S50" s="75"/>
      <c r="T50" s="75"/>
      <c r="U50" s="75"/>
      <c r="V50" s="75"/>
    </row>
    <row r="51" spans="1:22" x14ac:dyDescent="0.25">
      <c r="A51" s="1006"/>
      <c r="B51" s="1007"/>
      <c r="C51" s="1007"/>
      <c r="D51" s="1007"/>
      <c r="E51" s="1007"/>
      <c r="F51" s="1007"/>
      <c r="G51" s="1007"/>
      <c r="H51" s="1007"/>
      <c r="I51" s="1007"/>
      <c r="J51" s="1007"/>
      <c r="K51" s="75"/>
      <c r="L51" s="75"/>
      <c r="M51" s="75"/>
      <c r="N51" s="75"/>
      <c r="O51" s="75"/>
      <c r="P51" s="75"/>
      <c r="Q51" s="75"/>
      <c r="R51" s="75"/>
      <c r="S51" s="75"/>
      <c r="T51" s="75"/>
      <c r="U51" s="75"/>
      <c r="V51" s="75"/>
    </row>
    <row r="52" spans="1:22" x14ac:dyDescent="0.25">
      <c r="A52" s="1006"/>
      <c r="B52" s="1007"/>
      <c r="C52" s="1007"/>
      <c r="D52" s="1007"/>
      <c r="E52" s="1007"/>
      <c r="F52" s="1007"/>
      <c r="G52" s="1007"/>
      <c r="H52" s="1007"/>
      <c r="I52" s="1007"/>
      <c r="J52" s="1007"/>
      <c r="K52" s="75"/>
      <c r="L52" s="75"/>
      <c r="M52" s="75"/>
      <c r="N52" s="75"/>
      <c r="O52" s="75"/>
      <c r="P52" s="75"/>
      <c r="Q52" s="75"/>
      <c r="R52" s="75"/>
      <c r="S52" s="75"/>
      <c r="T52" s="75"/>
      <c r="U52" s="75"/>
      <c r="V52" s="75"/>
    </row>
  </sheetData>
  <mergeCells count="58">
    <mergeCell ref="A33:J49"/>
    <mergeCell ref="N38:O38"/>
    <mergeCell ref="P38:S38"/>
    <mergeCell ref="A50:J52"/>
    <mergeCell ref="A22:V22"/>
    <mergeCell ref="A23:S24"/>
    <mergeCell ref="T23:V30"/>
    <mergeCell ref="A25:S30"/>
    <mergeCell ref="A31:V31"/>
    <mergeCell ref="A32:J32"/>
    <mergeCell ref="Q16:S16"/>
    <mergeCell ref="T16:V16"/>
    <mergeCell ref="A17:B17"/>
    <mergeCell ref="F17:G20"/>
    <mergeCell ref="H17:H20"/>
    <mergeCell ref="I17:I20"/>
    <mergeCell ref="T17:U17"/>
    <mergeCell ref="A18:B18"/>
    <mergeCell ref="A19:B19"/>
    <mergeCell ref="A20:B20"/>
    <mergeCell ref="N16:P16"/>
    <mergeCell ref="A14:J14"/>
    <mergeCell ref="A15:D16"/>
    <mergeCell ref="F15:J15"/>
    <mergeCell ref="F16:J16"/>
    <mergeCell ref="K16:M16"/>
    <mergeCell ref="H8:H9"/>
    <mergeCell ref="I8:I9"/>
    <mergeCell ref="A10:J10"/>
    <mergeCell ref="A11:J11"/>
    <mergeCell ref="A12:J12"/>
    <mergeCell ref="A13:J13"/>
    <mergeCell ref="G6:G7"/>
    <mergeCell ref="H6:H7"/>
    <mergeCell ref="I6:I7"/>
    <mergeCell ref="A8:A9"/>
    <mergeCell ref="B8:B9"/>
    <mergeCell ref="C8:C9"/>
    <mergeCell ref="D8:D9"/>
    <mergeCell ref="E8:E9"/>
    <mergeCell ref="F8:F9"/>
    <mergeCell ref="G8:G9"/>
    <mergeCell ref="A6:A7"/>
    <mergeCell ref="B6:B7"/>
    <mergeCell ref="C6:C7"/>
    <mergeCell ref="D6:D7"/>
    <mergeCell ref="E6:E7"/>
    <mergeCell ref="F6:F7"/>
    <mergeCell ref="A1:V1"/>
    <mergeCell ref="A2:V2"/>
    <mergeCell ref="A3:V3"/>
    <mergeCell ref="A4:J4"/>
    <mergeCell ref="K4:L4"/>
    <mergeCell ref="M4:N4"/>
    <mergeCell ref="O4:P4"/>
    <mergeCell ref="Q4:R4"/>
    <mergeCell ref="S4:T4"/>
    <mergeCell ref="U4:V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53"/>
  <sheetViews>
    <sheetView topLeftCell="F1" workbookViewId="0">
      <selection activeCell="Y14" sqref="Y14"/>
    </sheetView>
  </sheetViews>
  <sheetFormatPr baseColWidth="10" defaultColWidth="11.42578125" defaultRowHeight="15" x14ac:dyDescent="0.25"/>
  <cols>
    <col min="3" max="3" width="16.42578125" customWidth="1"/>
  </cols>
  <sheetData>
    <row r="1" spans="1:22" x14ac:dyDescent="0.25">
      <c r="A1" s="955" t="s">
        <v>2014</v>
      </c>
      <c r="B1" s="956"/>
      <c r="C1" s="956"/>
      <c r="D1" s="956"/>
      <c r="E1" s="956"/>
      <c r="F1" s="956"/>
      <c r="G1" s="956"/>
      <c r="H1" s="956"/>
      <c r="I1" s="956"/>
      <c r="J1" s="956"/>
      <c r="K1" s="956"/>
      <c r="L1" s="956"/>
      <c r="M1" s="956"/>
      <c r="N1" s="956"/>
      <c r="O1" s="956"/>
      <c r="P1" s="956"/>
      <c r="Q1" s="956"/>
      <c r="R1" s="956"/>
      <c r="S1" s="956"/>
      <c r="T1" s="956"/>
      <c r="U1" s="956"/>
      <c r="V1" s="957"/>
    </row>
    <row r="2" spans="1:22" x14ac:dyDescent="0.25">
      <c r="A2" s="955" t="s">
        <v>2015</v>
      </c>
      <c r="B2" s="956"/>
      <c r="C2" s="956"/>
      <c r="D2" s="956"/>
      <c r="E2" s="956"/>
      <c r="F2" s="956"/>
      <c r="G2" s="956"/>
      <c r="H2" s="956"/>
      <c r="I2" s="956"/>
      <c r="J2" s="956"/>
      <c r="K2" s="956"/>
      <c r="L2" s="956"/>
      <c r="M2" s="956"/>
      <c r="N2" s="956"/>
      <c r="O2" s="956"/>
      <c r="P2" s="956"/>
      <c r="Q2" s="956"/>
      <c r="R2" s="956"/>
      <c r="S2" s="956"/>
      <c r="T2" s="956"/>
      <c r="U2" s="956"/>
      <c r="V2" s="957"/>
    </row>
    <row r="3" spans="1:22" x14ac:dyDescent="0.25">
      <c r="A3" s="955" t="s">
        <v>1966</v>
      </c>
      <c r="B3" s="956"/>
      <c r="C3" s="956"/>
      <c r="D3" s="956"/>
      <c r="E3" s="956"/>
      <c r="F3" s="956"/>
      <c r="G3" s="956"/>
      <c r="H3" s="956"/>
      <c r="I3" s="956"/>
      <c r="J3" s="956"/>
      <c r="K3" s="956"/>
      <c r="L3" s="956"/>
      <c r="M3" s="956"/>
      <c r="N3" s="956"/>
      <c r="O3" s="956"/>
      <c r="P3" s="956"/>
      <c r="Q3" s="956"/>
      <c r="R3" s="956"/>
      <c r="S3" s="956"/>
      <c r="T3" s="956"/>
      <c r="U3" s="956"/>
      <c r="V3" s="957"/>
    </row>
    <row r="4" spans="1:22" x14ac:dyDescent="0.25">
      <c r="A4" s="958"/>
      <c r="B4" s="959"/>
      <c r="C4" s="959"/>
      <c r="D4" s="959"/>
      <c r="E4" s="959"/>
      <c r="F4" s="959"/>
      <c r="G4" s="959"/>
      <c r="H4" s="959"/>
      <c r="I4" s="959"/>
      <c r="J4" s="960"/>
      <c r="K4" s="76"/>
      <c r="L4" s="77"/>
      <c r="M4" s="77"/>
      <c r="N4" s="77"/>
      <c r="O4" s="77"/>
      <c r="P4" s="77"/>
      <c r="Q4" s="77"/>
      <c r="R4" s="77"/>
      <c r="S4" s="77"/>
      <c r="T4" s="77"/>
      <c r="U4" s="77"/>
      <c r="V4" s="78"/>
    </row>
    <row r="5" spans="1:22" s="80" customFormat="1" ht="33.75" x14ac:dyDescent="0.2">
      <c r="A5" s="79" t="s">
        <v>1967</v>
      </c>
      <c r="B5" s="79" t="s">
        <v>1968</v>
      </c>
      <c r="C5" s="79" t="s">
        <v>1969</v>
      </c>
      <c r="D5" s="79" t="s">
        <v>1970</v>
      </c>
      <c r="E5" s="79" t="s">
        <v>1971</v>
      </c>
      <c r="F5" s="79" t="s">
        <v>1972</v>
      </c>
      <c r="G5" s="79" t="s">
        <v>1973</v>
      </c>
      <c r="H5" s="79" t="s">
        <v>1974</v>
      </c>
      <c r="I5" s="79" t="s">
        <v>43</v>
      </c>
      <c r="J5" s="79" t="s">
        <v>1975</v>
      </c>
      <c r="K5" s="79" t="s">
        <v>1976</v>
      </c>
      <c r="L5" s="79" t="s">
        <v>1977</v>
      </c>
      <c r="M5" s="79" t="s">
        <v>1978</v>
      </c>
      <c r="N5" s="79" t="s">
        <v>1979</v>
      </c>
      <c r="O5" s="79" t="s">
        <v>1980</v>
      </c>
      <c r="P5" s="79" t="s">
        <v>1981</v>
      </c>
      <c r="Q5" s="79" t="s">
        <v>1982</v>
      </c>
      <c r="R5" s="79" t="s">
        <v>1983</v>
      </c>
      <c r="S5" s="79" t="s">
        <v>1984</v>
      </c>
      <c r="T5" s="79" t="s">
        <v>1985</v>
      </c>
      <c r="U5" s="79" t="s">
        <v>1986</v>
      </c>
      <c r="V5" s="79" t="s">
        <v>1987</v>
      </c>
    </row>
    <row r="6" spans="1:22" s="80" customFormat="1" ht="81" customHeight="1" x14ac:dyDescent="0.2">
      <c r="A6" s="1018">
        <v>1</v>
      </c>
      <c r="B6" s="1020" t="s">
        <v>2016</v>
      </c>
      <c r="C6" s="1022" t="s">
        <v>2017</v>
      </c>
      <c r="D6" s="1022" t="s">
        <v>1990</v>
      </c>
      <c r="E6" s="1022" t="s">
        <v>1991</v>
      </c>
      <c r="F6" s="1022" t="s">
        <v>1992</v>
      </c>
      <c r="G6" s="1022" t="s">
        <v>2018</v>
      </c>
      <c r="H6" s="1022" t="s">
        <v>1994</v>
      </c>
      <c r="I6" s="1022"/>
      <c r="J6" s="81" t="s">
        <v>1995</v>
      </c>
      <c r="K6" s="82">
        <v>1</v>
      </c>
      <c r="L6" s="83"/>
      <c r="M6" s="84"/>
      <c r="N6" s="83"/>
      <c r="O6" s="83"/>
      <c r="P6" s="83"/>
      <c r="Q6" s="83"/>
      <c r="R6" s="83"/>
      <c r="S6" s="83"/>
      <c r="T6" s="83"/>
      <c r="U6" s="83"/>
      <c r="V6" s="83"/>
    </row>
    <row r="7" spans="1:22" s="80" customFormat="1" ht="11.25" x14ac:dyDescent="0.2">
      <c r="A7" s="1019"/>
      <c r="B7" s="1021"/>
      <c r="C7" s="1023"/>
      <c r="D7" s="1023"/>
      <c r="E7" s="1023"/>
      <c r="F7" s="1023"/>
      <c r="G7" s="1023"/>
      <c r="H7" s="1023"/>
      <c r="I7" s="1023"/>
      <c r="J7" s="85" t="s">
        <v>1996</v>
      </c>
      <c r="K7" s="86">
        <v>1</v>
      </c>
      <c r="L7" s="87"/>
      <c r="M7" s="86"/>
      <c r="N7" s="87"/>
      <c r="O7" s="87"/>
      <c r="P7" s="87"/>
      <c r="Q7" s="87"/>
      <c r="R7" s="87"/>
      <c r="S7" s="87"/>
      <c r="T7" s="87"/>
      <c r="U7" s="87"/>
      <c r="V7" s="87"/>
    </row>
    <row r="8" spans="1:22" s="80" customFormat="1" ht="57" customHeight="1" x14ac:dyDescent="0.2">
      <c r="A8" s="1018">
        <v>2</v>
      </c>
      <c r="B8" s="1027" t="s">
        <v>2019</v>
      </c>
      <c r="C8" s="1028" t="s">
        <v>2020</v>
      </c>
      <c r="D8" s="1027" t="s">
        <v>1990</v>
      </c>
      <c r="E8" s="1027" t="s">
        <v>1991</v>
      </c>
      <c r="F8" s="1027" t="s">
        <v>1992</v>
      </c>
      <c r="G8" s="1027" t="s">
        <v>2018</v>
      </c>
      <c r="H8" s="1027" t="s">
        <v>1999</v>
      </c>
      <c r="I8" s="1027"/>
      <c r="J8" s="88" t="s">
        <v>1995</v>
      </c>
      <c r="K8" s="89"/>
      <c r="L8" s="89"/>
      <c r="M8" s="89"/>
      <c r="N8" s="89">
        <v>1</v>
      </c>
      <c r="O8" s="89"/>
      <c r="P8" s="89"/>
      <c r="Q8" s="89"/>
      <c r="R8" s="89">
        <v>1</v>
      </c>
      <c r="S8" s="89"/>
      <c r="T8" s="89"/>
      <c r="U8" s="89"/>
      <c r="V8" s="89">
        <v>1</v>
      </c>
    </row>
    <row r="9" spans="1:22" s="80" customFormat="1" ht="46.35" customHeight="1" x14ac:dyDescent="0.2">
      <c r="A9" s="1019"/>
      <c r="B9" s="1027"/>
      <c r="C9" s="1029"/>
      <c r="D9" s="1027"/>
      <c r="E9" s="1027"/>
      <c r="F9" s="1027"/>
      <c r="G9" s="1027"/>
      <c r="H9" s="1027"/>
      <c r="I9" s="1027"/>
      <c r="J9" s="90" t="s">
        <v>1996</v>
      </c>
      <c r="K9" s="86"/>
      <c r="L9" s="86"/>
      <c r="M9" s="86"/>
      <c r="N9" s="91">
        <v>1</v>
      </c>
      <c r="O9" s="86"/>
      <c r="P9" s="86"/>
      <c r="Q9" s="86"/>
      <c r="R9" s="86"/>
      <c r="S9" s="86"/>
      <c r="T9" s="86"/>
      <c r="U9" s="86"/>
      <c r="V9" s="86"/>
    </row>
    <row r="10" spans="1:22" s="80" customFormat="1" ht="11.25" x14ac:dyDescent="0.2">
      <c r="A10" s="1030" t="s">
        <v>2000</v>
      </c>
      <c r="B10" s="1031"/>
      <c r="C10" s="1031"/>
      <c r="D10" s="1031"/>
      <c r="E10" s="1031"/>
      <c r="F10" s="1031"/>
      <c r="G10" s="1031"/>
      <c r="H10" s="1031"/>
      <c r="I10" s="1031"/>
      <c r="J10" s="1032"/>
      <c r="K10" s="92">
        <v>2</v>
      </c>
      <c r="L10" s="92">
        <v>1</v>
      </c>
      <c r="M10" s="92">
        <v>1</v>
      </c>
      <c r="N10" s="92">
        <v>1</v>
      </c>
      <c r="O10" s="92">
        <v>1</v>
      </c>
      <c r="P10" s="92">
        <v>1</v>
      </c>
      <c r="Q10" s="92">
        <v>1</v>
      </c>
      <c r="R10" s="92">
        <v>1</v>
      </c>
      <c r="S10" s="92">
        <v>1</v>
      </c>
      <c r="T10" s="92">
        <v>1</v>
      </c>
      <c r="U10" s="92">
        <v>1</v>
      </c>
      <c r="V10" s="92">
        <v>1</v>
      </c>
    </row>
    <row r="11" spans="1:22" s="80" customFormat="1" ht="11.25" x14ac:dyDescent="0.2">
      <c r="A11" s="1033" t="s">
        <v>2001</v>
      </c>
      <c r="B11" s="1034"/>
      <c r="C11" s="1034"/>
      <c r="D11" s="1034"/>
      <c r="E11" s="1034"/>
      <c r="F11" s="1034"/>
      <c r="G11" s="1034"/>
      <c r="H11" s="1034"/>
      <c r="I11" s="1034"/>
      <c r="J11" s="1035"/>
      <c r="K11" s="92">
        <v>0</v>
      </c>
      <c r="L11" s="92">
        <v>0</v>
      </c>
      <c r="M11" s="92">
        <v>0</v>
      </c>
      <c r="N11" s="92">
        <v>0</v>
      </c>
      <c r="O11" s="92">
        <v>0</v>
      </c>
      <c r="P11" s="92">
        <v>0</v>
      </c>
      <c r="Q11" s="92">
        <v>0</v>
      </c>
      <c r="R11" s="92">
        <v>0</v>
      </c>
      <c r="S11" s="92">
        <v>0</v>
      </c>
      <c r="T11" s="92">
        <v>0</v>
      </c>
      <c r="U11" s="92">
        <v>0</v>
      </c>
      <c r="V11" s="92">
        <v>0</v>
      </c>
    </row>
    <row r="12" spans="1:22" s="80" customFormat="1" ht="11.25" x14ac:dyDescent="0.2">
      <c r="A12" s="1033" t="s">
        <v>2002</v>
      </c>
      <c r="B12" s="1034"/>
      <c r="C12" s="1034"/>
      <c r="D12" s="1034"/>
      <c r="E12" s="1034"/>
      <c r="F12" s="1034"/>
      <c r="G12" s="1034"/>
      <c r="H12" s="1034"/>
      <c r="I12" s="1034"/>
      <c r="J12" s="1035"/>
      <c r="K12" s="92">
        <v>0</v>
      </c>
      <c r="L12" s="92">
        <v>0</v>
      </c>
      <c r="M12" s="92">
        <v>0</v>
      </c>
      <c r="N12" s="92">
        <v>0</v>
      </c>
      <c r="O12" s="92">
        <v>0</v>
      </c>
      <c r="P12" s="92">
        <v>0</v>
      </c>
      <c r="Q12" s="92">
        <v>0</v>
      </c>
      <c r="R12" s="92">
        <v>0</v>
      </c>
      <c r="S12" s="92">
        <v>0</v>
      </c>
      <c r="T12" s="92">
        <v>0</v>
      </c>
      <c r="U12" s="92">
        <v>0</v>
      </c>
      <c r="V12" s="92">
        <v>0</v>
      </c>
    </row>
    <row r="13" spans="1:22" s="80" customFormat="1" ht="11.25" x14ac:dyDescent="0.2">
      <c r="A13" s="1024" t="s">
        <v>2003</v>
      </c>
      <c r="B13" s="1025"/>
      <c r="C13" s="1025"/>
      <c r="D13" s="1025"/>
      <c r="E13" s="1025"/>
      <c r="F13" s="1025"/>
      <c r="G13" s="1025"/>
      <c r="H13" s="1025"/>
      <c r="I13" s="1025"/>
      <c r="J13" s="1026"/>
      <c r="K13" s="93">
        <v>0</v>
      </c>
      <c r="L13" s="93">
        <v>0</v>
      </c>
      <c r="M13" s="93">
        <v>0</v>
      </c>
      <c r="N13" s="93">
        <v>0</v>
      </c>
      <c r="O13" s="93">
        <v>0</v>
      </c>
      <c r="P13" s="93">
        <v>0</v>
      </c>
      <c r="Q13" s="93">
        <v>0</v>
      </c>
      <c r="R13" s="93">
        <v>0</v>
      </c>
      <c r="S13" s="93">
        <v>0</v>
      </c>
      <c r="T13" s="93">
        <v>0</v>
      </c>
      <c r="U13" s="93">
        <v>0</v>
      </c>
      <c r="V13" s="93">
        <v>0</v>
      </c>
    </row>
    <row r="14" spans="1:22" s="80" customFormat="1" ht="12" thickBot="1" x14ac:dyDescent="0.25">
      <c r="A14" s="1036" t="s">
        <v>2004</v>
      </c>
      <c r="B14" s="1037"/>
      <c r="C14" s="1037"/>
      <c r="D14" s="1037"/>
      <c r="E14" s="1037"/>
      <c r="F14" s="1037"/>
      <c r="G14" s="1037"/>
      <c r="H14" s="1037"/>
      <c r="I14" s="1037"/>
      <c r="J14" s="1038"/>
      <c r="K14" s="94">
        <v>0</v>
      </c>
      <c r="L14" s="94">
        <v>0</v>
      </c>
      <c r="M14" s="94">
        <v>0</v>
      </c>
      <c r="N14" s="94">
        <v>0</v>
      </c>
      <c r="O14" s="95">
        <v>0</v>
      </c>
      <c r="P14" s="95">
        <v>0</v>
      </c>
      <c r="Q14" s="95">
        <v>0</v>
      </c>
      <c r="R14" s="95">
        <v>0</v>
      </c>
      <c r="S14" s="95">
        <v>0</v>
      </c>
      <c r="T14" s="95">
        <v>0</v>
      </c>
      <c r="U14" s="95">
        <v>0</v>
      </c>
      <c r="V14" s="95">
        <v>0</v>
      </c>
    </row>
    <row r="15" spans="1:22" ht="15.75" customHeight="1" thickBot="1" x14ac:dyDescent="0.3">
      <c r="A15" s="1039" t="s">
        <v>2005</v>
      </c>
      <c r="B15" s="1040"/>
      <c r="C15" s="1040"/>
      <c r="D15" s="1041"/>
      <c r="E15" s="62" t="s">
        <v>2006</v>
      </c>
      <c r="F15" s="984" t="s">
        <v>2007</v>
      </c>
      <c r="G15" s="984"/>
      <c r="H15" s="984"/>
      <c r="I15" s="984"/>
      <c r="J15" s="984"/>
      <c r="K15" s="986">
        <v>1</v>
      </c>
      <c r="L15" s="986"/>
      <c r="M15" s="987"/>
      <c r="N15" s="985">
        <v>1</v>
      </c>
      <c r="O15" s="986"/>
      <c r="P15" s="987"/>
      <c r="Q15" s="985">
        <v>1</v>
      </c>
      <c r="R15" s="986"/>
      <c r="S15" s="987"/>
      <c r="T15" s="985">
        <v>1</v>
      </c>
      <c r="U15" s="986"/>
      <c r="V15" s="986"/>
    </row>
    <row r="16" spans="1:22" ht="22.5" x14ac:dyDescent="0.25">
      <c r="A16" s="1042"/>
      <c r="B16" s="1043"/>
      <c r="C16" s="1043"/>
      <c r="D16" s="1044"/>
      <c r="E16" s="64" t="s">
        <v>2008</v>
      </c>
      <c r="F16" s="984"/>
      <c r="G16" s="984"/>
      <c r="H16" s="984"/>
      <c r="I16" s="984"/>
      <c r="J16" s="984"/>
      <c r="K16" s="67"/>
      <c r="L16" s="67"/>
      <c r="M16" s="66"/>
      <c r="N16" s="66"/>
      <c r="O16" s="66"/>
      <c r="P16" s="66"/>
      <c r="Q16" s="66"/>
      <c r="R16" s="66"/>
      <c r="S16" s="66"/>
      <c r="T16" s="1045"/>
      <c r="U16" s="1045"/>
      <c r="V16" s="68"/>
    </row>
    <row r="17" spans="1:22" x14ac:dyDescent="0.25">
      <c r="A17" s="65"/>
      <c r="B17" s="65"/>
      <c r="C17" s="65"/>
      <c r="D17" s="65"/>
      <c r="E17" s="65"/>
      <c r="F17" s="65"/>
      <c r="G17" s="65"/>
      <c r="H17" s="65"/>
      <c r="I17" s="65"/>
      <c r="J17" s="65"/>
      <c r="K17" s="67"/>
      <c r="L17" s="67"/>
      <c r="M17" s="65"/>
      <c r="N17" s="65"/>
      <c r="O17" s="65"/>
      <c r="P17" s="65"/>
      <c r="Q17" s="65"/>
      <c r="R17" s="65"/>
      <c r="S17" s="65"/>
      <c r="T17" s="65"/>
      <c r="U17" s="65"/>
      <c r="V17" s="65"/>
    </row>
    <row r="18" spans="1:22" x14ac:dyDescent="0.25">
      <c r="A18" s="1046" t="s">
        <v>1995</v>
      </c>
      <c r="B18" s="1047"/>
      <c r="C18" s="56">
        <v>1</v>
      </c>
      <c r="D18" s="65"/>
      <c r="E18" s="65"/>
      <c r="F18" s="990"/>
      <c r="G18" s="990"/>
      <c r="H18" s="991"/>
      <c r="I18" s="992"/>
      <c r="J18" s="66"/>
      <c r="K18" s="66"/>
      <c r="L18" s="66"/>
      <c r="M18" s="66"/>
      <c r="N18" s="66"/>
      <c r="O18" s="66"/>
      <c r="P18" s="66"/>
      <c r="Q18" s="66"/>
      <c r="R18" s="66"/>
      <c r="S18" s="66"/>
      <c r="T18" s="993"/>
      <c r="U18" s="993"/>
      <c r="V18" s="68"/>
    </row>
    <row r="19" spans="1:22" x14ac:dyDescent="0.25">
      <c r="A19" s="994" t="s">
        <v>1996</v>
      </c>
      <c r="B19" s="995"/>
      <c r="C19" s="69">
        <v>2</v>
      </c>
      <c r="D19" s="65"/>
      <c r="E19" s="65"/>
      <c r="F19" s="990"/>
      <c r="G19" s="990"/>
      <c r="H19" s="991"/>
      <c r="I19" s="992"/>
      <c r="J19" s="65"/>
      <c r="K19" s="65"/>
      <c r="L19" s="65"/>
      <c r="M19" s="65"/>
      <c r="N19" s="65"/>
      <c r="O19" s="65"/>
      <c r="P19" s="65"/>
      <c r="Q19" s="65"/>
      <c r="R19" s="65"/>
      <c r="S19" s="65"/>
      <c r="T19" s="65"/>
      <c r="U19" s="65"/>
      <c r="V19" s="65"/>
    </row>
    <row r="20" spans="1:22" x14ac:dyDescent="0.25">
      <c r="A20" s="994" t="s">
        <v>2009</v>
      </c>
      <c r="B20" s="995"/>
      <c r="C20" s="70">
        <v>3</v>
      </c>
      <c r="D20" s="65"/>
      <c r="E20" s="65"/>
      <c r="F20" s="990"/>
      <c r="G20" s="990"/>
      <c r="H20" s="991"/>
      <c r="I20" s="992"/>
      <c r="J20" s="65"/>
      <c r="K20" s="65"/>
      <c r="L20" s="65"/>
      <c r="M20" s="65"/>
      <c r="N20" s="65"/>
      <c r="O20" s="65"/>
      <c r="P20" s="65"/>
      <c r="Q20" s="65"/>
      <c r="R20" s="65"/>
      <c r="S20" s="65"/>
      <c r="T20" s="65"/>
      <c r="U20" s="65"/>
      <c r="V20" s="65"/>
    </row>
    <row r="21" spans="1:22" x14ac:dyDescent="0.25">
      <c r="A21" s="994" t="s">
        <v>2010</v>
      </c>
      <c r="B21" s="995"/>
      <c r="C21" s="71"/>
      <c r="D21" s="65"/>
      <c r="E21" s="65"/>
      <c r="F21" s="990"/>
      <c r="G21" s="990"/>
      <c r="H21" s="991"/>
      <c r="I21" s="992"/>
      <c r="J21" s="65"/>
      <c r="K21" s="65"/>
      <c r="L21" s="65"/>
      <c r="M21" s="65"/>
      <c r="N21" s="65"/>
      <c r="O21" s="65"/>
      <c r="P21" s="65"/>
      <c r="Q21" s="65"/>
      <c r="R21" s="65"/>
      <c r="S21" s="65"/>
      <c r="T21" s="65"/>
      <c r="U21" s="65"/>
      <c r="V21" s="65"/>
    </row>
    <row r="22" spans="1:22" x14ac:dyDescent="0.25">
      <c r="A22" s="72"/>
      <c r="B22" s="65"/>
      <c r="C22" s="65"/>
      <c r="D22" s="65"/>
      <c r="E22" s="65"/>
      <c r="F22" s="65"/>
      <c r="G22" s="73"/>
      <c r="H22" s="73"/>
      <c r="I22" s="65"/>
      <c r="J22" s="65"/>
      <c r="K22" s="65"/>
      <c r="L22" s="65"/>
      <c r="M22" s="65"/>
      <c r="N22" s="65"/>
      <c r="O22" s="65"/>
      <c r="P22" s="65"/>
      <c r="Q22" s="65"/>
      <c r="R22" s="65"/>
      <c r="S22" s="65"/>
      <c r="T22" s="65"/>
      <c r="U22" s="65"/>
      <c r="V22" s="65"/>
    </row>
    <row r="23" spans="1:22" ht="15.75" thickBot="1" x14ac:dyDescent="0.3">
      <c r="A23" s="1008"/>
      <c r="B23" s="1008"/>
      <c r="C23" s="1008"/>
      <c r="D23" s="1008"/>
      <c r="E23" s="1008"/>
      <c r="F23" s="1008"/>
      <c r="G23" s="1008"/>
      <c r="H23" s="1008"/>
      <c r="I23" s="1008"/>
      <c r="J23" s="1008"/>
      <c r="K23" s="1008"/>
      <c r="L23" s="1008"/>
      <c r="M23" s="1008"/>
      <c r="N23" s="1008"/>
      <c r="O23" s="1008"/>
      <c r="P23" s="1008"/>
      <c r="Q23" s="1008"/>
      <c r="R23" s="1008"/>
      <c r="S23" s="1008"/>
      <c r="T23" s="1008"/>
      <c r="U23" s="1008"/>
      <c r="V23" s="1008"/>
    </row>
    <row r="24" spans="1:22" x14ac:dyDescent="0.25">
      <c r="A24" s="1009" t="s">
        <v>2011</v>
      </c>
      <c r="B24" s="1010"/>
      <c r="C24" s="1010"/>
      <c r="D24" s="1010"/>
      <c r="E24" s="1010"/>
      <c r="F24" s="1010"/>
      <c r="G24" s="1010"/>
      <c r="H24" s="1010"/>
      <c r="I24" s="1010"/>
      <c r="J24" s="1010"/>
      <c r="K24" s="1010"/>
      <c r="L24" s="1010"/>
      <c r="M24" s="1010"/>
      <c r="N24" s="1010"/>
      <c r="O24" s="1010"/>
      <c r="P24" s="1010"/>
      <c r="Q24" s="1010"/>
      <c r="R24" s="1010"/>
      <c r="S24" s="1010"/>
      <c r="T24" s="1008"/>
      <c r="U24" s="1008"/>
      <c r="V24" s="1008"/>
    </row>
    <row r="25" spans="1:22" x14ac:dyDescent="0.25">
      <c r="A25" s="1011"/>
      <c r="B25" s="1012"/>
      <c r="C25" s="1012"/>
      <c r="D25" s="1012"/>
      <c r="E25" s="1012"/>
      <c r="F25" s="1012"/>
      <c r="G25" s="1012"/>
      <c r="H25" s="1012"/>
      <c r="I25" s="1012"/>
      <c r="J25" s="1012"/>
      <c r="K25" s="1012"/>
      <c r="L25" s="1012"/>
      <c r="M25" s="1012"/>
      <c r="N25" s="1012"/>
      <c r="O25" s="1012"/>
      <c r="P25" s="1012"/>
      <c r="Q25" s="1012"/>
      <c r="R25" s="1012"/>
      <c r="S25" s="1012"/>
      <c r="T25" s="1008"/>
      <c r="U25" s="1008"/>
      <c r="V25" s="1008"/>
    </row>
    <row r="26" spans="1:22" x14ac:dyDescent="0.25">
      <c r="A26" s="1013"/>
      <c r="B26" s="1014"/>
      <c r="C26" s="1014"/>
      <c r="D26" s="1014"/>
      <c r="E26" s="1014"/>
      <c r="F26" s="1014"/>
      <c r="G26" s="1014"/>
      <c r="H26" s="1014"/>
      <c r="I26" s="1014"/>
      <c r="J26" s="1014"/>
      <c r="K26" s="1014"/>
      <c r="L26" s="1014"/>
      <c r="M26" s="1014"/>
      <c r="N26" s="1014"/>
      <c r="O26" s="1014"/>
      <c r="P26" s="1014"/>
      <c r="Q26" s="1014"/>
      <c r="R26" s="1014"/>
      <c r="S26" s="1014"/>
      <c r="T26" s="1008"/>
      <c r="U26" s="1008"/>
      <c r="V26" s="1008"/>
    </row>
    <row r="27" spans="1:22" x14ac:dyDescent="0.25">
      <c r="A27" s="1013"/>
      <c r="B27" s="1014"/>
      <c r="C27" s="1014"/>
      <c r="D27" s="1014"/>
      <c r="E27" s="1014"/>
      <c r="F27" s="1014"/>
      <c r="G27" s="1014"/>
      <c r="H27" s="1014"/>
      <c r="I27" s="1014"/>
      <c r="J27" s="1014"/>
      <c r="K27" s="1014"/>
      <c r="L27" s="1014"/>
      <c r="M27" s="1014"/>
      <c r="N27" s="1014"/>
      <c r="O27" s="1014"/>
      <c r="P27" s="1014"/>
      <c r="Q27" s="1014"/>
      <c r="R27" s="1014"/>
      <c r="S27" s="1014"/>
      <c r="T27" s="1008"/>
      <c r="U27" s="1008"/>
      <c r="V27" s="1008"/>
    </row>
    <row r="28" spans="1:22" x14ac:dyDescent="0.25">
      <c r="A28" s="1013"/>
      <c r="B28" s="1014"/>
      <c r="C28" s="1014"/>
      <c r="D28" s="1014"/>
      <c r="E28" s="1014"/>
      <c r="F28" s="1014"/>
      <c r="G28" s="1014"/>
      <c r="H28" s="1014"/>
      <c r="I28" s="1014"/>
      <c r="J28" s="1014"/>
      <c r="K28" s="1014"/>
      <c r="L28" s="1014"/>
      <c r="M28" s="1014"/>
      <c r="N28" s="1014"/>
      <c r="O28" s="1014"/>
      <c r="P28" s="1014"/>
      <c r="Q28" s="1014"/>
      <c r="R28" s="1014"/>
      <c r="S28" s="1014"/>
      <c r="T28" s="1008"/>
      <c r="U28" s="1008"/>
      <c r="V28" s="1008"/>
    </row>
    <row r="29" spans="1:22" x14ac:dyDescent="0.25">
      <c r="A29" s="1013"/>
      <c r="B29" s="1014"/>
      <c r="C29" s="1014"/>
      <c r="D29" s="1014"/>
      <c r="E29" s="1014"/>
      <c r="F29" s="1014"/>
      <c r="G29" s="1014"/>
      <c r="H29" s="1014"/>
      <c r="I29" s="1014"/>
      <c r="J29" s="1014"/>
      <c r="K29" s="1014"/>
      <c r="L29" s="1014"/>
      <c r="M29" s="1014"/>
      <c r="N29" s="1014"/>
      <c r="O29" s="1014"/>
      <c r="P29" s="1014"/>
      <c r="Q29" s="1014"/>
      <c r="R29" s="1014"/>
      <c r="S29" s="1014"/>
      <c r="T29" s="1008"/>
      <c r="U29" s="1008"/>
      <c r="V29" s="1008"/>
    </row>
    <row r="30" spans="1:22" x14ac:dyDescent="0.25">
      <c r="A30" s="1013"/>
      <c r="B30" s="1014"/>
      <c r="C30" s="1014"/>
      <c r="D30" s="1014"/>
      <c r="E30" s="1014"/>
      <c r="F30" s="1014"/>
      <c r="G30" s="1014"/>
      <c r="H30" s="1014"/>
      <c r="I30" s="1014"/>
      <c r="J30" s="1014"/>
      <c r="K30" s="1014"/>
      <c r="L30" s="1014"/>
      <c r="M30" s="1014"/>
      <c r="N30" s="1014"/>
      <c r="O30" s="1014"/>
      <c r="P30" s="1014"/>
      <c r="Q30" s="1014"/>
      <c r="R30" s="1014"/>
      <c r="S30" s="1014"/>
      <c r="T30" s="1008"/>
      <c r="U30" s="1008"/>
      <c r="V30" s="1008"/>
    </row>
    <row r="31" spans="1:22" x14ac:dyDescent="0.25">
      <c r="A31" s="1013"/>
      <c r="B31" s="1014"/>
      <c r="C31" s="1014"/>
      <c r="D31" s="1014"/>
      <c r="E31" s="1014"/>
      <c r="F31" s="1014"/>
      <c r="G31" s="1014"/>
      <c r="H31" s="1014"/>
      <c r="I31" s="1014"/>
      <c r="J31" s="1014"/>
      <c r="K31" s="1014"/>
      <c r="L31" s="1014"/>
      <c r="M31" s="1014"/>
      <c r="N31" s="1014"/>
      <c r="O31" s="1014"/>
      <c r="P31" s="1014"/>
      <c r="Q31" s="1014"/>
      <c r="R31" s="1014"/>
      <c r="S31" s="1014"/>
      <c r="T31" s="1008"/>
      <c r="U31" s="1008"/>
      <c r="V31" s="1008"/>
    </row>
    <row r="32" spans="1:22" ht="15.75" thickBot="1" x14ac:dyDescent="0.3">
      <c r="A32" s="1015"/>
      <c r="B32" s="1015"/>
      <c r="C32" s="1015"/>
      <c r="D32" s="1015"/>
      <c r="E32" s="1015"/>
      <c r="F32" s="1015"/>
      <c r="G32" s="1015"/>
      <c r="H32" s="1015"/>
      <c r="I32" s="1015"/>
      <c r="J32" s="1015"/>
      <c r="K32" s="1015"/>
      <c r="L32" s="1015"/>
      <c r="M32" s="1015"/>
      <c r="N32" s="1015"/>
      <c r="O32" s="1015"/>
      <c r="P32" s="1015"/>
      <c r="Q32" s="1015"/>
      <c r="R32" s="1015"/>
      <c r="S32" s="1015"/>
      <c r="T32" s="1015"/>
      <c r="U32" s="1015"/>
      <c r="V32" s="1015"/>
    </row>
    <row r="33" spans="1:22" ht="15.75" thickBot="1" x14ac:dyDescent="0.3">
      <c r="A33" s="1016" t="s">
        <v>2012</v>
      </c>
      <c r="B33" s="1017"/>
      <c r="C33" s="1017"/>
      <c r="D33" s="1017"/>
      <c r="E33" s="1017"/>
      <c r="F33" s="1017"/>
      <c r="G33" s="1017"/>
      <c r="H33" s="1017"/>
      <c r="I33" s="1017"/>
      <c r="J33" s="1017"/>
      <c r="K33" s="74"/>
      <c r="L33" s="74"/>
      <c r="M33" s="74"/>
      <c r="N33" s="74"/>
      <c r="O33" s="74"/>
      <c r="P33" s="74"/>
      <c r="Q33" s="74"/>
      <c r="R33" s="74"/>
      <c r="S33" s="74"/>
      <c r="T33" s="75"/>
      <c r="U33" s="75"/>
      <c r="V33" s="75"/>
    </row>
    <row r="34" spans="1:22" x14ac:dyDescent="0.25">
      <c r="A34" s="996"/>
      <c r="B34" s="997"/>
      <c r="C34" s="997"/>
      <c r="D34" s="997"/>
      <c r="E34" s="997"/>
      <c r="F34" s="997"/>
      <c r="G34" s="997"/>
      <c r="H34" s="997"/>
      <c r="I34" s="997"/>
      <c r="J34" s="997"/>
      <c r="K34" s="74"/>
      <c r="L34" s="74"/>
      <c r="M34" s="74"/>
      <c r="N34" s="74"/>
      <c r="O34" s="74"/>
      <c r="P34" s="74"/>
      <c r="Q34" s="74"/>
      <c r="R34" s="74"/>
      <c r="S34" s="74"/>
      <c r="T34" s="75"/>
      <c r="U34" s="75"/>
      <c r="V34" s="75"/>
    </row>
    <row r="35" spans="1:22" x14ac:dyDescent="0.25">
      <c r="A35" s="998"/>
      <c r="B35" s="999"/>
      <c r="C35" s="999"/>
      <c r="D35" s="999"/>
      <c r="E35" s="999"/>
      <c r="F35" s="999"/>
      <c r="G35" s="999"/>
      <c r="H35" s="999"/>
      <c r="I35" s="999"/>
      <c r="J35" s="999"/>
      <c r="K35" s="75"/>
      <c r="L35" s="75"/>
      <c r="M35" s="75"/>
      <c r="N35" s="75"/>
      <c r="O35" s="75"/>
      <c r="P35" s="75"/>
      <c r="Q35" s="75"/>
      <c r="R35" s="75"/>
      <c r="S35" s="75"/>
      <c r="T35" s="75"/>
      <c r="U35" s="75"/>
      <c r="V35" s="75"/>
    </row>
    <row r="36" spans="1:22" x14ac:dyDescent="0.25">
      <c r="A36" s="998"/>
      <c r="B36" s="999"/>
      <c r="C36" s="999"/>
      <c r="D36" s="999"/>
      <c r="E36" s="999"/>
      <c r="F36" s="999"/>
      <c r="G36" s="999"/>
      <c r="H36" s="999"/>
      <c r="I36" s="999"/>
      <c r="J36" s="999"/>
      <c r="K36" s="75"/>
      <c r="L36" s="75"/>
      <c r="M36" s="75"/>
      <c r="N36" s="75"/>
      <c r="O36" s="75"/>
      <c r="P36" s="75"/>
      <c r="Q36" s="75"/>
      <c r="R36" s="75"/>
      <c r="S36" s="75"/>
      <c r="T36" s="75"/>
      <c r="U36" s="75"/>
      <c r="V36" s="75"/>
    </row>
    <row r="37" spans="1:22" x14ac:dyDescent="0.25">
      <c r="A37" s="998"/>
      <c r="B37" s="999"/>
      <c r="C37" s="999"/>
      <c r="D37" s="999"/>
      <c r="E37" s="999"/>
      <c r="F37" s="999"/>
      <c r="G37" s="999"/>
      <c r="H37" s="999"/>
      <c r="I37" s="999"/>
      <c r="J37" s="999"/>
      <c r="K37" s="75"/>
      <c r="L37" s="75"/>
      <c r="M37" s="75"/>
      <c r="N37" s="75"/>
      <c r="O37" s="75"/>
      <c r="P37" s="75"/>
      <c r="Q37" s="75"/>
      <c r="R37" s="75"/>
      <c r="S37" s="75"/>
      <c r="T37" s="75"/>
      <c r="U37" s="75"/>
      <c r="V37" s="75"/>
    </row>
    <row r="38" spans="1:22" x14ac:dyDescent="0.25">
      <c r="A38" s="998"/>
      <c r="B38" s="999"/>
      <c r="C38" s="999"/>
      <c r="D38" s="999"/>
      <c r="E38" s="999"/>
      <c r="F38" s="999"/>
      <c r="G38" s="999"/>
      <c r="H38" s="999"/>
      <c r="I38" s="999"/>
      <c r="J38" s="999"/>
      <c r="K38" s="75"/>
      <c r="L38" s="75"/>
      <c r="M38" s="75"/>
      <c r="N38" s="75"/>
      <c r="O38" s="75"/>
      <c r="P38" s="75"/>
      <c r="Q38" s="75"/>
      <c r="R38" s="75"/>
      <c r="S38" s="75"/>
      <c r="T38" s="75"/>
      <c r="U38" s="75"/>
      <c r="V38" s="75"/>
    </row>
    <row r="39" spans="1:22" x14ac:dyDescent="0.25">
      <c r="A39" s="998"/>
      <c r="B39" s="999"/>
      <c r="C39" s="999"/>
      <c r="D39" s="999"/>
      <c r="E39" s="999"/>
      <c r="F39" s="999"/>
      <c r="G39" s="999"/>
      <c r="H39" s="999"/>
      <c r="I39" s="999"/>
      <c r="J39" s="999"/>
      <c r="K39" s="75"/>
      <c r="L39" s="75"/>
      <c r="M39" s="75"/>
      <c r="N39" s="1002" t="s">
        <v>2013</v>
      </c>
      <c r="O39" s="1002"/>
      <c r="P39" s="1003"/>
      <c r="Q39" s="1003"/>
      <c r="R39" s="1003"/>
      <c r="S39" s="1003"/>
      <c r="T39" s="75"/>
      <c r="U39" s="75"/>
      <c r="V39" s="75"/>
    </row>
    <row r="40" spans="1:22" x14ac:dyDescent="0.25">
      <c r="A40" s="998"/>
      <c r="B40" s="999"/>
      <c r="C40" s="999"/>
      <c r="D40" s="999"/>
      <c r="E40" s="999"/>
      <c r="F40" s="999"/>
      <c r="G40" s="999"/>
      <c r="H40" s="999"/>
      <c r="I40" s="999"/>
      <c r="J40" s="999"/>
      <c r="K40" s="75"/>
      <c r="L40" s="75"/>
      <c r="M40" s="75"/>
      <c r="N40" s="75"/>
      <c r="O40" s="75"/>
      <c r="P40" s="75"/>
      <c r="Q40" s="75"/>
      <c r="R40" s="75"/>
      <c r="S40" s="75"/>
      <c r="T40" s="75"/>
      <c r="U40" s="75"/>
      <c r="V40" s="75"/>
    </row>
    <row r="41" spans="1:22" x14ac:dyDescent="0.25">
      <c r="A41" s="998"/>
      <c r="B41" s="999"/>
      <c r="C41" s="999"/>
      <c r="D41" s="999"/>
      <c r="E41" s="999"/>
      <c r="F41" s="999"/>
      <c r="G41" s="999"/>
      <c r="H41" s="999"/>
      <c r="I41" s="999"/>
      <c r="J41" s="999"/>
      <c r="K41" s="75"/>
      <c r="L41" s="75"/>
      <c r="M41" s="75"/>
      <c r="N41" s="75"/>
      <c r="O41" s="75"/>
      <c r="P41" s="75"/>
      <c r="Q41" s="75"/>
      <c r="R41" s="75"/>
      <c r="S41" s="75"/>
      <c r="T41" s="75"/>
      <c r="U41" s="75"/>
      <c r="V41" s="75"/>
    </row>
    <row r="42" spans="1:22" x14ac:dyDescent="0.25">
      <c r="A42" s="998"/>
      <c r="B42" s="999"/>
      <c r="C42" s="999"/>
      <c r="D42" s="999"/>
      <c r="E42" s="999"/>
      <c r="F42" s="999"/>
      <c r="G42" s="999"/>
      <c r="H42" s="999"/>
      <c r="I42" s="999"/>
      <c r="J42" s="999"/>
      <c r="K42" s="75"/>
      <c r="L42" s="75"/>
      <c r="M42" s="75"/>
      <c r="N42" s="75"/>
      <c r="O42" s="75"/>
      <c r="P42" s="75"/>
      <c r="Q42" s="75"/>
      <c r="R42" s="75"/>
      <c r="S42" s="75"/>
      <c r="T42" s="75"/>
      <c r="U42" s="75"/>
      <c r="V42" s="75"/>
    </row>
    <row r="43" spans="1:22" x14ac:dyDescent="0.25">
      <c r="A43" s="998"/>
      <c r="B43" s="999"/>
      <c r="C43" s="999"/>
      <c r="D43" s="999"/>
      <c r="E43" s="999"/>
      <c r="F43" s="999"/>
      <c r="G43" s="999"/>
      <c r="H43" s="999"/>
      <c r="I43" s="999"/>
      <c r="J43" s="999"/>
      <c r="K43" s="75"/>
      <c r="L43" s="75"/>
      <c r="M43" s="75"/>
      <c r="N43" s="75"/>
      <c r="O43" s="75"/>
      <c r="P43" s="75"/>
      <c r="Q43" s="75"/>
      <c r="R43" s="75"/>
      <c r="S43" s="75"/>
      <c r="T43" s="75"/>
      <c r="U43" s="75"/>
      <c r="V43" s="75"/>
    </row>
    <row r="44" spans="1:22" x14ac:dyDescent="0.25">
      <c r="A44" s="998"/>
      <c r="B44" s="999"/>
      <c r="C44" s="999"/>
      <c r="D44" s="999"/>
      <c r="E44" s="999"/>
      <c r="F44" s="999"/>
      <c r="G44" s="999"/>
      <c r="H44" s="999"/>
      <c r="I44" s="999"/>
      <c r="J44" s="999"/>
      <c r="K44" s="75"/>
      <c r="L44" s="75"/>
      <c r="M44" s="75"/>
      <c r="N44" s="75"/>
      <c r="O44" s="75"/>
      <c r="P44" s="75"/>
      <c r="Q44" s="75"/>
      <c r="R44" s="75"/>
      <c r="S44" s="75"/>
      <c r="T44" s="75"/>
      <c r="U44" s="75"/>
      <c r="V44" s="75"/>
    </row>
    <row r="45" spans="1:22" x14ac:dyDescent="0.25">
      <c r="A45" s="998"/>
      <c r="B45" s="999"/>
      <c r="C45" s="999"/>
      <c r="D45" s="999"/>
      <c r="E45" s="999"/>
      <c r="F45" s="999"/>
      <c r="G45" s="999"/>
      <c r="H45" s="999"/>
      <c r="I45" s="999"/>
      <c r="J45" s="999"/>
      <c r="K45" s="75"/>
      <c r="L45" s="75"/>
      <c r="M45" s="75"/>
      <c r="N45" s="75"/>
      <c r="O45" s="75"/>
      <c r="P45" s="75"/>
      <c r="Q45" s="75"/>
      <c r="R45" s="75"/>
      <c r="S45" s="75"/>
      <c r="T45" s="75"/>
      <c r="U45" s="75"/>
      <c r="V45" s="75"/>
    </row>
    <row r="46" spans="1:22" x14ac:dyDescent="0.25">
      <c r="A46" s="998"/>
      <c r="B46" s="999"/>
      <c r="C46" s="999"/>
      <c r="D46" s="999"/>
      <c r="E46" s="999"/>
      <c r="F46" s="999"/>
      <c r="G46" s="999"/>
      <c r="H46" s="999"/>
      <c r="I46" s="999"/>
      <c r="J46" s="999"/>
      <c r="K46" s="75"/>
      <c r="L46" s="75"/>
      <c r="M46" s="75"/>
      <c r="N46" s="75"/>
      <c r="O46" s="75"/>
      <c r="P46" s="75"/>
      <c r="Q46" s="75"/>
      <c r="R46" s="75"/>
      <c r="S46" s="75"/>
      <c r="T46" s="75"/>
      <c r="U46" s="75"/>
      <c r="V46" s="75"/>
    </row>
    <row r="47" spans="1:22" x14ac:dyDescent="0.25">
      <c r="A47" s="998"/>
      <c r="B47" s="999"/>
      <c r="C47" s="999"/>
      <c r="D47" s="999"/>
      <c r="E47" s="999"/>
      <c r="F47" s="999"/>
      <c r="G47" s="999"/>
      <c r="H47" s="999"/>
      <c r="I47" s="999"/>
      <c r="J47" s="999"/>
      <c r="K47" s="75"/>
      <c r="L47" s="75"/>
      <c r="M47" s="75"/>
      <c r="N47" s="75"/>
      <c r="O47" s="75"/>
      <c r="P47" s="75"/>
      <c r="Q47" s="75"/>
      <c r="R47" s="75"/>
      <c r="S47" s="75"/>
      <c r="T47" s="75"/>
      <c r="U47" s="75"/>
      <c r="V47" s="75"/>
    </row>
    <row r="48" spans="1:22" x14ac:dyDescent="0.25">
      <c r="A48" s="998"/>
      <c r="B48" s="999"/>
      <c r="C48" s="999"/>
      <c r="D48" s="999"/>
      <c r="E48" s="999"/>
      <c r="F48" s="999"/>
      <c r="G48" s="999"/>
      <c r="H48" s="999"/>
      <c r="I48" s="999"/>
      <c r="J48" s="999"/>
      <c r="K48" s="75"/>
      <c r="L48" s="75"/>
      <c r="M48" s="75"/>
      <c r="N48" s="75"/>
      <c r="O48" s="75"/>
      <c r="P48" s="75"/>
      <c r="Q48" s="75"/>
      <c r="R48" s="75"/>
      <c r="S48" s="75"/>
      <c r="T48" s="75"/>
      <c r="U48" s="75"/>
      <c r="V48" s="75"/>
    </row>
    <row r="49" spans="1:22" x14ac:dyDescent="0.25">
      <c r="A49" s="998"/>
      <c r="B49" s="999"/>
      <c r="C49" s="999"/>
      <c r="D49" s="999"/>
      <c r="E49" s="999"/>
      <c r="F49" s="999"/>
      <c r="G49" s="999"/>
      <c r="H49" s="999"/>
      <c r="I49" s="999"/>
      <c r="J49" s="999"/>
      <c r="K49" s="75"/>
      <c r="L49" s="75"/>
      <c r="M49" s="75"/>
      <c r="N49" s="75"/>
      <c r="O49" s="75"/>
      <c r="P49" s="75"/>
      <c r="Q49" s="75"/>
      <c r="R49" s="75"/>
      <c r="S49" s="75"/>
      <c r="T49" s="75"/>
      <c r="U49" s="75"/>
      <c r="V49" s="75"/>
    </row>
    <row r="50" spans="1:22" x14ac:dyDescent="0.25">
      <c r="A50" s="1000"/>
      <c r="B50" s="1001"/>
      <c r="C50" s="1001"/>
      <c r="D50" s="1001"/>
      <c r="E50" s="1001"/>
      <c r="F50" s="1001"/>
      <c r="G50" s="1001"/>
      <c r="H50" s="1001"/>
      <c r="I50" s="1001"/>
      <c r="J50" s="1001"/>
      <c r="K50" s="75"/>
      <c r="L50" s="75"/>
      <c r="M50" s="75"/>
      <c r="N50" s="75"/>
      <c r="O50" s="75"/>
      <c r="P50" s="75"/>
      <c r="Q50" s="75"/>
      <c r="R50" s="75"/>
      <c r="S50" s="75"/>
      <c r="T50" s="75"/>
      <c r="U50" s="75"/>
      <c r="V50" s="75"/>
    </row>
    <row r="51" spans="1:22" x14ac:dyDescent="0.25">
      <c r="A51" s="1004"/>
      <c r="B51" s="1005"/>
      <c r="C51" s="1005"/>
      <c r="D51" s="1005"/>
      <c r="E51" s="1005"/>
      <c r="F51" s="1005"/>
      <c r="G51" s="1005"/>
      <c r="H51" s="1005"/>
      <c r="I51" s="1005"/>
      <c r="J51" s="1005"/>
      <c r="K51" s="75"/>
      <c r="L51" s="75"/>
      <c r="M51" s="75"/>
      <c r="N51" s="75"/>
      <c r="O51" s="75"/>
      <c r="P51" s="75"/>
      <c r="Q51" s="75"/>
      <c r="R51" s="75"/>
      <c r="S51" s="75"/>
      <c r="T51" s="75"/>
      <c r="U51" s="75"/>
      <c r="V51" s="75"/>
    </row>
    <row r="52" spans="1:22" x14ac:dyDescent="0.25">
      <c r="A52" s="1006"/>
      <c r="B52" s="1007"/>
      <c r="C52" s="1007"/>
      <c r="D52" s="1007"/>
      <c r="E52" s="1007"/>
      <c r="F52" s="1007"/>
      <c r="G52" s="1007"/>
      <c r="H52" s="1007"/>
      <c r="I52" s="1007"/>
      <c r="J52" s="1007"/>
      <c r="K52" s="75"/>
      <c r="L52" s="75"/>
      <c r="M52" s="75"/>
      <c r="N52" s="75"/>
      <c r="O52" s="75"/>
      <c r="P52" s="75"/>
      <c r="Q52" s="75"/>
      <c r="R52" s="75"/>
      <c r="S52" s="75"/>
      <c r="T52" s="75"/>
      <c r="U52" s="75"/>
      <c r="V52" s="75"/>
    </row>
    <row r="53" spans="1:22" x14ac:dyDescent="0.25">
      <c r="A53" s="1006"/>
      <c r="B53" s="1007"/>
      <c r="C53" s="1007"/>
      <c r="D53" s="1007"/>
      <c r="E53" s="1007"/>
      <c r="F53" s="1007"/>
      <c r="G53" s="1007"/>
      <c r="H53" s="1007"/>
      <c r="I53" s="1007"/>
      <c r="J53" s="1007"/>
      <c r="K53" s="75"/>
      <c r="L53" s="75"/>
      <c r="M53" s="75"/>
      <c r="N53" s="75"/>
      <c r="O53" s="75"/>
      <c r="P53" s="75"/>
      <c r="Q53" s="75"/>
      <c r="R53" s="75"/>
      <c r="S53" s="75"/>
      <c r="T53" s="75"/>
      <c r="U53" s="75"/>
      <c r="V53" s="75"/>
    </row>
  </sheetData>
  <mergeCells count="53">
    <mergeCell ref="Q15:S15"/>
    <mergeCell ref="A21:B21"/>
    <mergeCell ref="A51:J53"/>
    <mergeCell ref="A26:S31"/>
    <mergeCell ref="A33:J33"/>
    <mergeCell ref="A34:J50"/>
    <mergeCell ref="N39:O39"/>
    <mergeCell ref="P39:S39"/>
    <mergeCell ref="A32:V32"/>
    <mergeCell ref="A23:V23"/>
    <mergeCell ref="A24:S25"/>
    <mergeCell ref="T24:V31"/>
    <mergeCell ref="T15:V15"/>
    <mergeCell ref="T16:U16"/>
    <mergeCell ref="A18:B18"/>
    <mergeCell ref="F18:G21"/>
    <mergeCell ref="A14:J14"/>
    <mergeCell ref="A15:D16"/>
    <mergeCell ref="F15:J15"/>
    <mergeCell ref="K15:M15"/>
    <mergeCell ref="N15:P15"/>
    <mergeCell ref="F16:J16"/>
    <mergeCell ref="H18:H21"/>
    <mergeCell ref="I18:I21"/>
    <mergeCell ref="T18:U18"/>
    <mergeCell ref="A19:B19"/>
    <mergeCell ref="A20:B20"/>
    <mergeCell ref="A13:J13"/>
    <mergeCell ref="G6:G7"/>
    <mergeCell ref="H6:H7"/>
    <mergeCell ref="I6:I7"/>
    <mergeCell ref="A8:A9"/>
    <mergeCell ref="B8:B9"/>
    <mergeCell ref="C8:C9"/>
    <mergeCell ref="D8:D9"/>
    <mergeCell ref="E8:E9"/>
    <mergeCell ref="F8:F9"/>
    <mergeCell ref="G8:G9"/>
    <mergeCell ref="H8:H9"/>
    <mergeCell ref="I8:I9"/>
    <mergeCell ref="A10:J10"/>
    <mergeCell ref="A11:J11"/>
    <mergeCell ref="A12:J12"/>
    <mergeCell ref="A1:V1"/>
    <mergeCell ref="A2:V2"/>
    <mergeCell ref="A3:V3"/>
    <mergeCell ref="A4:J4"/>
    <mergeCell ref="A6:A7"/>
    <mergeCell ref="B6:B7"/>
    <mergeCell ref="C6:C7"/>
    <mergeCell ref="D6:D7"/>
    <mergeCell ref="E6:E7"/>
    <mergeCell ref="F6:F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86"/>
  <sheetViews>
    <sheetView topLeftCell="A20" workbookViewId="0">
      <selection activeCell="K21" sqref="K21"/>
    </sheetView>
  </sheetViews>
  <sheetFormatPr baseColWidth="10" defaultColWidth="11.42578125" defaultRowHeight="15" x14ac:dyDescent="0.25"/>
  <cols>
    <col min="2" max="2" width="14.7109375" customWidth="1"/>
    <col min="3" max="3" width="28.42578125" customWidth="1"/>
    <col min="8" max="10" width="0" hidden="1" customWidth="1"/>
    <col min="20" max="24" width="0" hidden="1" customWidth="1"/>
  </cols>
  <sheetData>
    <row r="1" spans="1:27" s="80" customFormat="1" ht="27" customHeight="1" x14ac:dyDescent="0.2">
      <c r="A1" s="1048" t="s">
        <v>2021</v>
      </c>
      <c r="B1" s="1049"/>
      <c r="C1" s="1049"/>
      <c r="D1" s="1049"/>
      <c r="E1" s="1049"/>
      <c r="F1" s="1049"/>
      <c r="G1" s="1049"/>
      <c r="H1" s="1049"/>
      <c r="I1" s="1049"/>
      <c r="J1" s="1049"/>
      <c r="K1" s="1049"/>
      <c r="L1" s="1049"/>
      <c r="M1" s="1049"/>
      <c r="N1" s="1049"/>
      <c r="O1" s="1049"/>
      <c r="P1" s="1049"/>
      <c r="Q1" s="1049"/>
      <c r="R1" s="1049"/>
      <c r="S1" s="1049"/>
      <c r="T1" s="1049"/>
      <c r="U1" s="1049"/>
      <c r="V1" s="1050"/>
      <c r="W1" s="1051" t="s">
        <v>2022</v>
      </c>
      <c r="X1" s="1052"/>
      <c r="Y1" s="536"/>
      <c r="Z1" s="96"/>
      <c r="AA1" s="96"/>
    </row>
    <row r="2" spans="1:27" s="80" customFormat="1" ht="26.25" customHeight="1" x14ac:dyDescent="0.2">
      <c r="A2" s="1048" t="s">
        <v>2023</v>
      </c>
      <c r="B2" s="1049"/>
      <c r="C2" s="1049"/>
      <c r="D2" s="1049"/>
      <c r="E2" s="1049"/>
      <c r="F2" s="1049"/>
      <c r="G2" s="1049"/>
      <c r="H2" s="1049"/>
      <c r="I2" s="1049"/>
      <c r="J2" s="1049"/>
      <c r="K2" s="1049"/>
      <c r="L2" s="1049"/>
      <c r="M2" s="1049"/>
      <c r="N2" s="1049"/>
      <c r="O2" s="1049"/>
      <c r="P2" s="1049"/>
      <c r="Q2" s="1049"/>
      <c r="R2" s="1049"/>
      <c r="S2" s="1049"/>
      <c r="T2" s="1049"/>
      <c r="U2" s="1049"/>
      <c r="V2" s="1050"/>
      <c r="W2" s="1055" t="s">
        <v>2024</v>
      </c>
      <c r="X2" s="1052"/>
      <c r="Y2" s="536"/>
      <c r="Z2" s="96"/>
      <c r="AA2" s="96"/>
    </row>
    <row r="3" spans="1:27" s="80" customFormat="1" ht="27.75" customHeight="1" thickBot="1" x14ac:dyDescent="0.25">
      <c r="A3" s="1053"/>
      <c r="B3" s="1053"/>
      <c r="C3" s="1053"/>
      <c r="D3" s="1053"/>
      <c r="E3" s="1053"/>
      <c r="F3" s="1053"/>
      <c r="G3" s="1053"/>
      <c r="H3" s="1053"/>
      <c r="I3" s="1053"/>
      <c r="J3" s="1053"/>
      <c r="K3" s="1053"/>
      <c r="L3" s="1053"/>
      <c r="M3" s="1053"/>
      <c r="N3" s="1053"/>
      <c r="O3" s="1053"/>
      <c r="P3" s="1053"/>
      <c r="Q3" s="1053"/>
      <c r="R3" s="1053"/>
      <c r="S3" s="1053"/>
      <c r="T3" s="1053"/>
      <c r="U3" s="1053"/>
      <c r="V3" s="1054"/>
      <c r="W3" s="1056" t="s">
        <v>2025</v>
      </c>
      <c r="X3" s="1057"/>
      <c r="Y3" s="536"/>
      <c r="Z3" s="96"/>
      <c r="AA3" s="96"/>
    </row>
    <row r="4" spans="1:27" s="80" customFormat="1" ht="18" customHeight="1" thickBot="1" x14ac:dyDescent="0.25">
      <c r="A4" s="1058" t="s">
        <v>2026</v>
      </c>
      <c r="B4" s="1059"/>
      <c r="C4" s="1059"/>
      <c r="D4" s="1059"/>
      <c r="E4" s="1059"/>
      <c r="F4" s="1059"/>
      <c r="G4" s="1059"/>
      <c r="H4" s="1060" t="s">
        <v>2027</v>
      </c>
      <c r="I4" s="1060"/>
      <c r="J4" s="1060"/>
      <c r="K4" s="1060"/>
      <c r="L4" s="1060"/>
      <c r="M4" s="1060"/>
      <c r="N4" s="1060"/>
      <c r="O4" s="1060"/>
      <c r="P4" s="1060"/>
      <c r="Q4" s="1060"/>
      <c r="R4" s="1060"/>
      <c r="S4" s="1060"/>
      <c r="T4" s="1060"/>
      <c r="U4" s="1060"/>
      <c r="V4" s="1061"/>
      <c r="W4" s="1062" t="s">
        <v>2028</v>
      </c>
      <c r="X4" s="1064" t="s">
        <v>2029</v>
      </c>
      <c r="Y4" s="536"/>
      <c r="Z4" s="96"/>
      <c r="AA4" s="96"/>
    </row>
    <row r="5" spans="1:27" s="80" customFormat="1" ht="27.75" customHeight="1" thickBot="1" x14ac:dyDescent="0.25">
      <c r="A5" s="97" t="s">
        <v>1967</v>
      </c>
      <c r="B5" s="98" t="s">
        <v>2030</v>
      </c>
      <c r="C5" s="99" t="s">
        <v>2031</v>
      </c>
      <c r="D5" s="99" t="s">
        <v>1970</v>
      </c>
      <c r="E5" s="99" t="s">
        <v>2032</v>
      </c>
      <c r="F5" s="98" t="s">
        <v>2033</v>
      </c>
      <c r="G5" s="98" t="s">
        <v>1975</v>
      </c>
      <c r="H5" s="99" t="s">
        <v>1976</v>
      </c>
      <c r="I5" s="99" t="s">
        <v>1977</v>
      </c>
      <c r="J5" s="99" t="s">
        <v>1978</v>
      </c>
      <c r="K5" s="99" t="s">
        <v>1979</v>
      </c>
      <c r="L5" s="99" t="s">
        <v>1980</v>
      </c>
      <c r="M5" s="99" t="s">
        <v>1981</v>
      </c>
      <c r="N5" s="99" t="s">
        <v>1982</v>
      </c>
      <c r="O5" s="99" t="s">
        <v>1983</v>
      </c>
      <c r="P5" s="99" t="s">
        <v>1984</v>
      </c>
      <c r="Q5" s="99" t="s">
        <v>1985</v>
      </c>
      <c r="R5" s="99" t="s">
        <v>1986</v>
      </c>
      <c r="S5" s="99" t="s">
        <v>1987</v>
      </c>
      <c r="T5" s="99"/>
      <c r="U5" s="99"/>
      <c r="V5" s="100"/>
      <c r="W5" s="1063"/>
      <c r="X5" s="1065"/>
      <c r="Y5" s="536"/>
      <c r="Z5" s="96"/>
      <c r="AA5" s="96"/>
    </row>
    <row r="6" spans="1:27" s="80" customFormat="1" ht="45.6" customHeight="1" x14ac:dyDescent="0.2">
      <c r="A6" s="1066">
        <v>1</v>
      </c>
      <c r="B6" s="1075" t="s">
        <v>2034</v>
      </c>
      <c r="C6" s="1077" t="s">
        <v>2035</v>
      </c>
      <c r="D6" s="1072" t="s">
        <v>543</v>
      </c>
      <c r="E6" s="1072" t="s">
        <v>2036</v>
      </c>
      <c r="F6" s="1073" t="s">
        <v>2037</v>
      </c>
      <c r="G6" s="320" t="s">
        <v>1995</v>
      </c>
      <c r="H6" s="104">
        <v>1</v>
      </c>
      <c r="I6" s="321"/>
      <c r="J6" s="321"/>
      <c r="K6" s="321"/>
      <c r="L6" s="321"/>
      <c r="M6" s="321"/>
      <c r="N6" s="321"/>
      <c r="O6" s="321"/>
      <c r="P6" s="321"/>
      <c r="Q6" s="321"/>
      <c r="R6" s="321"/>
      <c r="S6" s="321"/>
      <c r="T6" s="541"/>
      <c r="U6" s="541"/>
      <c r="V6" s="541"/>
      <c r="W6" s="102"/>
      <c r="X6" s="103"/>
      <c r="Y6" s="536"/>
      <c r="Z6" s="96"/>
      <c r="AA6" s="96"/>
    </row>
    <row r="7" spans="1:27" s="80" customFormat="1" ht="39" customHeight="1" thickBot="1" x14ac:dyDescent="0.25">
      <c r="A7" s="1067"/>
      <c r="B7" s="1076"/>
      <c r="C7" s="1077"/>
      <c r="D7" s="1072"/>
      <c r="E7" s="1072"/>
      <c r="F7" s="1074"/>
      <c r="G7" s="322"/>
      <c r="H7" s="533">
        <v>1</v>
      </c>
      <c r="I7" s="321"/>
      <c r="J7" s="321"/>
      <c r="K7" s="321"/>
      <c r="L7" s="321"/>
      <c r="M7" s="321"/>
      <c r="N7" s="321"/>
      <c r="O7" s="321"/>
      <c r="P7" s="321"/>
      <c r="Q7" s="321"/>
      <c r="R7" s="321"/>
      <c r="S7" s="321"/>
      <c r="T7" s="541"/>
      <c r="U7" s="541"/>
      <c r="V7" s="541"/>
      <c r="W7" s="102"/>
      <c r="X7" s="103"/>
      <c r="Y7" s="536"/>
      <c r="Z7" s="96"/>
      <c r="AA7" s="96"/>
    </row>
    <row r="8" spans="1:27" s="80" customFormat="1" ht="57" customHeight="1" x14ac:dyDescent="0.2">
      <c r="A8" s="1066">
        <v>2</v>
      </c>
      <c r="B8" s="1068" t="s">
        <v>2038</v>
      </c>
      <c r="C8" s="1070" t="s">
        <v>2039</v>
      </c>
      <c r="D8" s="1072" t="s">
        <v>543</v>
      </c>
      <c r="E8" s="1072" t="s">
        <v>2036</v>
      </c>
      <c r="F8" s="1073" t="s">
        <v>2040</v>
      </c>
      <c r="G8" s="323" t="s">
        <v>1995</v>
      </c>
      <c r="H8" s="104">
        <v>1</v>
      </c>
      <c r="I8" s="104"/>
      <c r="J8" s="104"/>
      <c r="K8" s="104"/>
      <c r="L8" s="104">
        <v>1</v>
      </c>
      <c r="M8" s="104">
        <v>1</v>
      </c>
      <c r="N8" s="104"/>
      <c r="O8" s="104"/>
      <c r="P8" s="104"/>
      <c r="Q8" s="324"/>
      <c r="R8" s="104">
        <v>1</v>
      </c>
      <c r="S8" s="104"/>
      <c r="T8" s="105"/>
      <c r="U8" s="106"/>
      <c r="V8" s="106"/>
      <c r="W8" s="107"/>
      <c r="X8" s="108"/>
      <c r="Y8" s="536"/>
      <c r="Z8" s="96"/>
      <c r="AA8" s="96"/>
    </row>
    <row r="9" spans="1:27" s="80" customFormat="1" ht="79.5" customHeight="1" thickBot="1" x14ac:dyDescent="0.25">
      <c r="A9" s="1067"/>
      <c r="B9" s="1069"/>
      <c r="C9" s="1071"/>
      <c r="D9" s="1072"/>
      <c r="E9" s="1072"/>
      <c r="F9" s="1074"/>
      <c r="G9" s="109" t="s">
        <v>1996</v>
      </c>
      <c r="H9" s="325">
        <v>1</v>
      </c>
      <c r="I9" s="325"/>
      <c r="J9" s="325"/>
      <c r="K9" s="325"/>
      <c r="L9" s="325">
        <v>1</v>
      </c>
      <c r="M9" s="325">
        <v>1</v>
      </c>
      <c r="N9" s="325"/>
      <c r="O9" s="325"/>
      <c r="P9" s="325"/>
      <c r="Q9" s="325"/>
      <c r="R9" s="326"/>
      <c r="S9" s="555"/>
      <c r="T9" s="105"/>
      <c r="U9" s="106"/>
      <c r="V9" s="106"/>
      <c r="W9" s="107"/>
      <c r="X9" s="108"/>
      <c r="Y9" s="536"/>
      <c r="Z9" s="96"/>
      <c r="AA9" s="96"/>
    </row>
    <row r="10" spans="1:27" s="80" customFormat="1" ht="31.5" customHeight="1" x14ac:dyDescent="0.2">
      <c r="A10" s="1066">
        <v>3</v>
      </c>
      <c r="B10" s="1092" t="s">
        <v>2041</v>
      </c>
      <c r="C10" s="1093" t="s">
        <v>2042</v>
      </c>
      <c r="D10" s="1072" t="s">
        <v>543</v>
      </c>
      <c r="E10" s="1072" t="s">
        <v>2036</v>
      </c>
      <c r="F10" s="1073" t="s">
        <v>2043</v>
      </c>
      <c r="G10" s="111" t="s">
        <v>1995</v>
      </c>
      <c r="H10" s="101"/>
      <c r="I10" s="101"/>
      <c r="J10" s="101"/>
      <c r="K10" s="101"/>
      <c r="L10" s="101">
        <v>1</v>
      </c>
      <c r="M10" s="101"/>
      <c r="N10" s="112"/>
      <c r="O10" s="536"/>
      <c r="P10" s="101">
        <v>1</v>
      </c>
      <c r="Q10" s="101"/>
      <c r="R10" s="535"/>
      <c r="S10" s="104"/>
      <c r="T10" s="1084">
        <f>COUNTIF(H10:S10,1)</f>
        <v>2</v>
      </c>
      <c r="U10" s="1078">
        <f>COUNTIF(H11:S11,2)</f>
        <v>0</v>
      </c>
      <c r="V10" s="1078">
        <f>COUNTIF(H11:S11,3)</f>
        <v>0</v>
      </c>
      <c r="W10" s="1086">
        <f>IF(T10=0,"N/A",U10/T10)</f>
        <v>0</v>
      </c>
      <c r="X10" s="1087">
        <f>IF(T10=0,"N/A",V10/T10)</f>
        <v>0</v>
      </c>
      <c r="Y10" s="536"/>
      <c r="Z10" s="96"/>
      <c r="AA10" s="96"/>
    </row>
    <row r="11" spans="1:27" s="80" customFormat="1" ht="20.25" customHeight="1" thickBot="1" x14ac:dyDescent="0.25">
      <c r="A11" s="1067"/>
      <c r="B11" s="1089"/>
      <c r="C11" s="1069"/>
      <c r="D11" s="1072"/>
      <c r="E11" s="1072"/>
      <c r="F11" s="1074"/>
      <c r="G11" s="113" t="s">
        <v>1996</v>
      </c>
      <c r="H11" s="114"/>
      <c r="I11" s="114"/>
      <c r="J11" s="91"/>
      <c r="K11" s="91"/>
      <c r="L11" s="114">
        <v>0</v>
      </c>
      <c r="M11" s="114"/>
      <c r="N11" s="91"/>
      <c r="O11" s="114"/>
      <c r="P11" s="114"/>
      <c r="Q11" s="114"/>
      <c r="R11" s="115"/>
      <c r="S11" s="104"/>
      <c r="T11" s="1085"/>
      <c r="U11" s="1079"/>
      <c r="V11" s="1079"/>
      <c r="W11" s="1081"/>
      <c r="X11" s="1083"/>
      <c r="Y11" s="536"/>
      <c r="Z11" s="96"/>
      <c r="AA11" s="96"/>
    </row>
    <row r="12" spans="1:27" s="80" customFormat="1" ht="44.25" customHeight="1" x14ac:dyDescent="0.2">
      <c r="A12" s="1066">
        <v>4</v>
      </c>
      <c r="B12" s="1088" t="s">
        <v>2044</v>
      </c>
      <c r="C12" s="1090" t="s">
        <v>2045</v>
      </c>
      <c r="D12" s="1072" t="s">
        <v>543</v>
      </c>
      <c r="E12" s="1072" t="s">
        <v>2036</v>
      </c>
      <c r="F12" s="1073" t="s">
        <v>2046</v>
      </c>
      <c r="G12" s="113" t="s">
        <v>1995</v>
      </c>
      <c r="H12" s="114">
        <v>1</v>
      </c>
      <c r="I12" s="114">
        <v>1</v>
      </c>
      <c r="J12" s="114"/>
      <c r="K12" s="91"/>
      <c r="L12" s="114"/>
      <c r="M12" s="114"/>
      <c r="N12" s="116"/>
      <c r="O12" s="114">
        <v>1</v>
      </c>
      <c r="P12" s="114"/>
      <c r="Q12" s="114"/>
      <c r="R12" s="115"/>
      <c r="S12" s="104"/>
      <c r="T12" s="1084">
        <f>COUNTIF(H12:S12,1)</f>
        <v>3</v>
      </c>
      <c r="U12" s="1078">
        <f>COUNTIF(H13:S13,2)</f>
        <v>0</v>
      </c>
      <c r="V12" s="1078">
        <f>COUNTIF(H13:S13,3)</f>
        <v>0</v>
      </c>
      <c r="W12" s="1080">
        <f>IF(T12=0,"N/A",U12/T12)</f>
        <v>0</v>
      </c>
      <c r="X12" s="1082">
        <f>IF(T12=0,"N/A",V12/T12)</f>
        <v>0</v>
      </c>
      <c r="Y12" s="536"/>
      <c r="Z12" s="96"/>
      <c r="AA12" s="96"/>
    </row>
    <row r="13" spans="1:27" s="80" customFormat="1" ht="26.25" customHeight="1" thickBot="1" x14ac:dyDescent="0.25">
      <c r="A13" s="1067"/>
      <c r="B13" s="1089"/>
      <c r="C13" s="1091"/>
      <c r="D13" s="1072"/>
      <c r="E13" s="1072"/>
      <c r="F13" s="1074"/>
      <c r="G13" s="113" t="s">
        <v>1996</v>
      </c>
      <c r="H13" s="114">
        <v>0</v>
      </c>
      <c r="I13" s="114">
        <v>0</v>
      </c>
      <c r="J13" s="114"/>
      <c r="K13" s="91"/>
      <c r="L13" s="114"/>
      <c r="M13" s="114"/>
      <c r="N13" s="91"/>
      <c r="O13" s="114"/>
      <c r="P13" s="114"/>
      <c r="Q13" s="114"/>
      <c r="R13" s="115"/>
      <c r="S13" s="104"/>
      <c r="T13" s="1085"/>
      <c r="U13" s="1079"/>
      <c r="V13" s="1079"/>
      <c r="W13" s="1081"/>
      <c r="X13" s="1083"/>
      <c r="Y13" s="536"/>
      <c r="Z13" s="96"/>
      <c r="AA13" s="96"/>
    </row>
    <row r="14" spans="1:27" s="80" customFormat="1" ht="20.25" customHeight="1" x14ac:dyDescent="0.2">
      <c r="A14" s="1066">
        <v>5</v>
      </c>
      <c r="B14" s="1094" t="s">
        <v>2047</v>
      </c>
      <c r="C14" s="1096" t="s">
        <v>2048</v>
      </c>
      <c r="D14" s="1072" t="s">
        <v>543</v>
      </c>
      <c r="E14" s="1072" t="s">
        <v>2036</v>
      </c>
      <c r="F14" s="1073" t="s">
        <v>2049</v>
      </c>
      <c r="G14" s="113" t="s">
        <v>1995</v>
      </c>
      <c r="H14" s="114">
        <v>1</v>
      </c>
      <c r="I14" s="114">
        <v>1</v>
      </c>
      <c r="J14" s="114"/>
      <c r="K14" s="91"/>
      <c r="L14" s="114">
        <v>1</v>
      </c>
      <c r="M14" s="114"/>
      <c r="N14" s="114"/>
      <c r="O14" s="114">
        <v>1</v>
      </c>
      <c r="P14" s="114"/>
      <c r="Q14" s="114"/>
      <c r="R14" s="115">
        <v>1</v>
      </c>
      <c r="S14" s="104"/>
      <c r="T14" s="529"/>
      <c r="U14" s="528"/>
      <c r="V14" s="528"/>
      <c r="W14" s="117"/>
      <c r="X14" s="118"/>
      <c r="Y14" s="536"/>
      <c r="Z14" s="96"/>
      <c r="AA14" s="96"/>
    </row>
    <row r="15" spans="1:27" s="80" customFormat="1" ht="20.25" customHeight="1" thickBot="1" x14ac:dyDescent="0.25">
      <c r="A15" s="1067"/>
      <c r="B15" s="1095"/>
      <c r="C15" s="1097"/>
      <c r="D15" s="1072"/>
      <c r="E15" s="1072"/>
      <c r="F15" s="1074"/>
      <c r="G15" s="113" t="s">
        <v>1996</v>
      </c>
      <c r="H15" s="114">
        <v>0</v>
      </c>
      <c r="I15" s="114">
        <v>0</v>
      </c>
      <c r="J15" s="114"/>
      <c r="K15" s="91"/>
      <c r="L15" s="114">
        <v>1</v>
      </c>
      <c r="M15" s="114"/>
      <c r="N15" s="114"/>
      <c r="O15" s="114"/>
      <c r="P15" s="114"/>
      <c r="Q15" s="114"/>
      <c r="R15" s="115"/>
      <c r="S15" s="104"/>
      <c r="T15" s="529"/>
      <c r="U15" s="528"/>
      <c r="V15" s="528"/>
      <c r="W15" s="117"/>
      <c r="X15" s="118"/>
      <c r="Y15" s="536"/>
      <c r="Z15" s="96"/>
      <c r="AA15" s="96"/>
    </row>
    <row r="16" spans="1:27" s="80" customFormat="1" ht="39" customHeight="1" x14ac:dyDescent="0.2">
      <c r="A16" s="1066">
        <v>6</v>
      </c>
      <c r="B16" s="1088" t="s">
        <v>2050</v>
      </c>
      <c r="C16" s="1096" t="s">
        <v>2051</v>
      </c>
      <c r="D16" s="1072" t="s">
        <v>543</v>
      </c>
      <c r="E16" s="1072" t="s">
        <v>2036</v>
      </c>
      <c r="F16" s="1073" t="s">
        <v>2040</v>
      </c>
      <c r="G16" s="113" t="s">
        <v>1995</v>
      </c>
      <c r="H16" s="91"/>
      <c r="I16" s="91"/>
      <c r="J16" s="91"/>
      <c r="K16" s="91"/>
      <c r="L16" s="91">
        <v>1</v>
      </c>
      <c r="M16" s="91"/>
      <c r="N16" s="91"/>
      <c r="O16" s="91">
        <v>1</v>
      </c>
      <c r="P16" s="91"/>
      <c r="Q16" s="91"/>
      <c r="R16" s="110"/>
      <c r="S16" s="533">
        <v>1</v>
      </c>
      <c r="T16" s="1084">
        <f>COUNTIF(H16:S16,1)</f>
        <v>3</v>
      </c>
      <c r="U16" s="1078">
        <f>COUNTIF(H17:S17,2)</f>
        <v>0</v>
      </c>
      <c r="V16" s="1078">
        <f>COUNTIF(H17:S17,3)</f>
        <v>0</v>
      </c>
      <c r="W16" s="1080">
        <f>IF(T16=0,"N/A",U16/T16)</f>
        <v>0</v>
      </c>
      <c r="X16" s="1082">
        <f>IF(T16=0,"N/A",V16/T16)</f>
        <v>0</v>
      </c>
      <c r="Y16" s="536"/>
      <c r="Z16" s="96"/>
      <c r="AA16" s="96"/>
    </row>
    <row r="17" spans="1:27" s="80" customFormat="1" ht="45.75" customHeight="1" thickBot="1" x14ac:dyDescent="0.25">
      <c r="A17" s="1067"/>
      <c r="B17" s="1089"/>
      <c r="C17" s="1097"/>
      <c r="D17" s="1072"/>
      <c r="E17" s="1072"/>
      <c r="F17" s="1074"/>
      <c r="G17" s="113" t="s">
        <v>1996</v>
      </c>
      <c r="H17" s="91"/>
      <c r="I17" s="91"/>
      <c r="J17" s="114"/>
      <c r="K17" s="114"/>
      <c r="L17" s="114">
        <v>1</v>
      </c>
      <c r="M17" s="91"/>
      <c r="N17" s="114"/>
      <c r="O17" s="114"/>
      <c r="P17" s="114"/>
      <c r="Q17" s="114"/>
      <c r="R17" s="115"/>
      <c r="S17" s="104"/>
      <c r="T17" s="1085"/>
      <c r="U17" s="1079"/>
      <c r="V17" s="1079"/>
      <c r="W17" s="1081"/>
      <c r="X17" s="1083"/>
      <c r="Y17" s="536"/>
      <c r="Z17" s="96"/>
      <c r="AA17" s="96"/>
    </row>
    <row r="18" spans="1:27" s="80" customFormat="1" ht="45.75" customHeight="1" x14ac:dyDescent="0.2">
      <c r="A18" s="1066">
        <v>7</v>
      </c>
      <c r="B18" s="1098" t="s">
        <v>2052</v>
      </c>
      <c r="C18" s="1100" t="s">
        <v>2053</v>
      </c>
      <c r="D18" s="1072" t="s">
        <v>543</v>
      </c>
      <c r="E18" s="1072" t="s">
        <v>2036</v>
      </c>
      <c r="F18" s="1073" t="s">
        <v>1993</v>
      </c>
      <c r="G18" s="113" t="s">
        <v>1995</v>
      </c>
      <c r="H18" s="91"/>
      <c r="I18" s="91"/>
      <c r="J18" s="91"/>
      <c r="K18" s="91"/>
      <c r="L18" s="91">
        <v>1</v>
      </c>
      <c r="M18" s="91">
        <v>1</v>
      </c>
      <c r="N18" s="91">
        <v>1</v>
      </c>
      <c r="O18" s="91">
        <v>1</v>
      </c>
      <c r="P18" s="91">
        <v>1</v>
      </c>
      <c r="Q18" s="91">
        <v>1</v>
      </c>
      <c r="R18" s="110">
        <v>1</v>
      </c>
      <c r="S18" s="533">
        <v>1</v>
      </c>
      <c r="T18" s="529"/>
      <c r="U18" s="528"/>
      <c r="V18" s="528"/>
      <c r="W18" s="117"/>
      <c r="X18" s="118"/>
      <c r="Y18" s="536"/>
      <c r="Z18" s="96"/>
      <c r="AA18" s="96"/>
    </row>
    <row r="19" spans="1:27" s="80" customFormat="1" ht="45.75" customHeight="1" thickBot="1" x14ac:dyDescent="0.25">
      <c r="A19" s="1067"/>
      <c r="B19" s="1099"/>
      <c r="C19" s="1101"/>
      <c r="D19" s="1072"/>
      <c r="E19" s="1072"/>
      <c r="F19" s="1074"/>
      <c r="G19" s="113" t="s">
        <v>1996</v>
      </c>
      <c r="H19" s="91"/>
      <c r="I19" s="91"/>
      <c r="J19" s="114"/>
      <c r="K19" s="114"/>
      <c r="L19" s="114">
        <v>1</v>
      </c>
      <c r="M19" s="91">
        <v>1</v>
      </c>
      <c r="N19" s="114"/>
      <c r="O19" s="114"/>
      <c r="P19" s="114"/>
      <c r="Q19" s="114"/>
      <c r="R19" s="115"/>
      <c r="S19" s="104"/>
      <c r="T19" s="529"/>
      <c r="U19" s="528"/>
      <c r="V19" s="528"/>
      <c r="W19" s="117"/>
      <c r="X19" s="118"/>
      <c r="Y19" s="536"/>
      <c r="Z19" s="96"/>
      <c r="AA19" s="96"/>
    </row>
    <row r="20" spans="1:27" s="80" customFormat="1" ht="35.25" customHeight="1" x14ac:dyDescent="0.2">
      <c r="A20" s="1066">
        <v>8</v>
      </c>
      <c r="B20" s="1088" t="s">
        <v>2054</v>
      </c>
      <c r="C20" s="1096" t="s">
        <v>2055</v>
      </c>
      <c r="D20" s="1072" t="s">
        <v>543</v>
      </c>
      <c r="E20" s="1072" t="s">
        <v>2036</v>
      </c>
      <c r="F20" s="1073" t="s">
        <v>1993</v>
      </c>
      <c r="G20" s="113" t="s">
        <v>1995</v>
      </c>
      <c r="H20" s="91"/>
      <c r="I20" s="91"/>
      <c r="J20" s="114"/>
      <c r="K20" s="114">
        <v>1</v>
      </c>
      <c r="L20" s="114"/>
      <c r="M20" s="114"/>
      <c r="N20" s="114"/>
      <c r="O20" s="114">
        <v>1</v>
      </c>
      <c r="P20" s="114"/>
      <c r="Q20" s="114"/>
      <c r="R20" s="115"/>
      <c r="S20" s="104">
        <v>1</v>
      </c>
      <c r="T20" s="1084">
        <f>COUNTIF(H20:S20,1)</f>
        <v>3</v>
      </c>
      <c r="U20" s="538"/>
      <c r="V20" s="538"/>
      <c r="W20" s="539"/>
      <c r="X20" s="540"/>
      <c r="Y20" s="536"/>
      <c r="Z20" s="96"/>
      <c r="AA20" s="96"/>
    </row>
    <row r="21" spans="1:27" s="80" customFormat="1" ht="34.5" customHeight="1" thickBot="1" x14ac:dyDescent="0.25">
      <c r="A21" s="1067"/>
      <c r="B21" s="1089"/>
      <c r="C21" s="1097"/>
      <c r="D21" s="1072"/>
      <c r="E21" s="1072"/>
      <c r="F21" s="1074"/>
      <c r="G21" s="113" t="s">
        <v>1996</v>
      </c>
      <c r="H21" s="91"/>
      <c r="I21" s="91"/>
      <c r="J21" s="114"/>
      <c r="K21" s="91"/>
      <c r="L21" s="91"/>
      <c r="M21" s="114"/>
      <c r="N21" s="114"/>
      <c r="O21" s="114"/>
      <c r="P21" s="114"/>
      <c r="Q21" s="114"/>
      <c r="R21" s="115"/>
      <c r="S21" s="104"/>
      <c r="T21" s="1085"/>
      <c r="U21" s="538"/>
      <c r="V21" s="538"/>
      <c r="W21" s="539"/>
      <c r="X21" s="540"/>
      <c r="Y21" s="536"/>
      <c r="Z21" s="96"/>
      <c r="AA21" s="96"/>
    </row>
    <row r="22" spans="1:27" s="80" customFormat="1" ht="34.5" customHeight="1" x14ac:dyDescent="0.2">
      <c r="A22" s="1066">
        <v>9</v>
      </c>
      <c r="B22" s="1102" t="s">
        <v>2056</v>
      </c>
      <c r="C22" s="1104" t="s">
        <v>2057</v>
      </c>
      <c r="D22" s="1072" t="s">
        <v>543</v>
      </c>
      <c r="E22" s="1072" t="s">
        <v>2036</v>
      </c>
      <c r="F22" s="1073" t="s">
        <v>1993</v>
      </c>
      <c r="G22" s="113"/>
      <c r="H22" s="91"/>
      <c r="I22" s="91"/>
      <c r="J22" s="114"/>
      <c r="K22" s="91">
        <v>1</v>
      </c>
      <c r="L22" s="91"/>
      <c r="M22" s="114"/>
      <c r="N22" s="114"/>
      <c r="O22" s="114">
        <v>1</v>
      </c>
      <c r="P22" s="114"/>
      <c r="Q22" s="114"/>
      <c r="R22" s="115"/>
      <c r="S22" s="104">
        <v>1</v>
      </c>
      <c r="T22" s="529"/>
      <c r="U22" s="538"/>
      <c r="V22" s="538"/>
      <c r="W22" s="539"/>
      <c r="X22" s="540"/>
      <c r="Y22" s="536"/>
      <c r="Z22" s="96"/>
      <c r="AA22" s="96"/>
    </row>
    <row r="23" spans="1:27" s="80" customFormat="1" ht="34.5" customHeight="1" thickBot="1" x14ac:dyDescent="0.25">
      <c r="A23" s="1067"/>
      <c r="B23" s="1103"/>
      <c r="C23" s="1105"/>
      <c r="D23" s="1072"/>
      <c r="E23" s="1072"/>
      <c r="F23" s="1074"/>
      <c r="G23" s="113"/>
      <c r="H23" s="91"/>
      <c r="I23" s="91"/>
      <c r="J23" s="114"/>
      <c r="K23" s="91"/>
      <c r="L23" s="91"/>
      <c r="M23" s="114"/>
      <c r="N23" s="114"/>
      <c r="O23" s="114"/>
      <c r="P23" s="114"/>
      <c r="Q23" s="114"/>
      <c r="R23" s="115"/>
      <c r="S23" s="104"/>
      <c r="T23" s="529"/>
      <c r="U23" s="538"/>
      <c r="V23" s="538"/>
      <c r="W23" s="539"/>
      <c r="X23" s="540"/>
      <c r="Y23" s="536"/>
      <c r="Z23" s="96"/>
      <c r="AA23" s="96"/>
    </row>
    <row r="24" spans="1:27" s="80" customFormat="1" ht="39" customHeight="1" x14ac:dyDescent="0.2">
      <c r="A24" s="1066">
        <v>10</v>
      </c>
      <c r="B24" s="1088" t="s">
        <v>2058</v>
      </c>
      <c r="C24" s="1068" t="s">
        <v>2059</v>
      </c>
      <c r="D24" s="1072" t="s">
        <v>543</v>
      </c>
      <c r="E24" s="1072" t="s">
        <v>2036</v>
      </c>
      <c r="F24" s="1073" t="s">
        <v>2060</v>
      </c>
      <c r="G24" s="113" t="s">
        <v>1995</v>
      </c>
      <c r="H24" s="91">
        <v>1</v>
      </c>
      <c r="I24" s="91">
        <v>1</v>
      </c>
      <c r="J24" s="114">
        <v>1</v>
      </c>
      <c r="K24" s="114">
        <v>1</v>
      </c>
      <c r="L24" s="114">
        <v>1</v>
      </c>
      <c r="M24" s="114">
        <v>1</v>
      </c>
      <c r="N24" s="119">
        <v>1</v>
      </c>
      <c r="O24" s="114">
        <v>1</v>
      </c>
      <c r="P24" s="114">
        <v>1</v>
      </c>
      <c r="Q24" s="114">
        <v>1</v>
      </c>
      <c r="R24" s="115">
        <v>1</v>
      </c>
      <c r="S24" s="104">
        <v>1</v>
      </c>
      <c r="T24" s="1084">
        <f>COUNTIF(H24:S24,1)</f>
        <v>12</v>
      </c>
      <c r="U24" s="1078">
        <f>COUNTIF(H25:S25,2)</f>
        <v>0</v>
      </c>
      <c r="V24" s="1078">
        <f>COUNTIF(H25:S25,3)</f>
        <v>0</v>
      </c>
      <c r="W24" s="1080">
        <f>IF(T24=0,"N/A",U24/T24)</f>
        <v>0</v>
      </c>
      <c r="X24" s="1082">
        <f>IF(T24=0,"N/A",V24/T24)</f>
        <v>0</v>
      </c>
      <c r="Y24" s="536"/>
      <c r="Z24" s="96"/>
      <c r="AA24" s="96"/>
    </row>
    <row r="25" spans="1:27" s="80" customFormat="1" ht="41.1" customHeight="1" thickBot="1" x14ac:dyDescent="0.25">
      <c r="A25" s="1067"/>
      <c r="B25" s="1089"/>
      <c r="C25" s="1069"/>
      <c r="D25" s="1072"/>
      <c r="E25" s="1072"/>
      <c r="F25" s="1074"/>
      <c r="G25" s="113" t="s">
        <v>1996</v>
      </c>
      <c r="H25" s="91">
        <v>0</v>
      </c>
      <c r="I25" s="91">
        <v>0</v>
      </c>
      <c r="J25" s="114">
        <v>0</v>
      </c>
      <c r="K25" s="91">
        <v>1</v>
      </c>
      <c r="L25" s="91">
        <v>0</v>
      </c>
      <c r="M25" s="91">
        <v>0</v>
      </c>
      <c r="N25" s="91"/>
      <c r="O25" s="91"/>
      <c r="P25" s="91"/>
      <c r="Q25" s="91"/>
      <c r="R25" s="110"/>
      <c r="S25" s="533"/>
      <c r="T25" s="1085"/>
      <c r="U25" s="1079"/>
      <c r="V25" s="1079"/>
      <c r="W25" s="1081"/>
      <c r="X25" s="1083"/>
      <c r="Y25" s="536"/>
      <c r="Z25" s="96"/>
      <c r="AA25" s="96"/>
    </row>
    <row r="26" spans="1:27" s="80" customFormat="1" ht="40.5" customHeight="1" x14ac:dyDescent="0.2">
      <c r="A26" s="1066">
        <v>11</v>
      </c>
      <c r="B26" s="1088" t="s">
        <v>2061</v>
      </c>
      <c r="C26" s="1100" t="s">
        <v>2062</v>
      </c>
      <c r="D26" s="1072" t="s">
        <v>543</v>
      </c>
      <c r="E26" s="1072" t="s">
        <v>2036</v>
      </c>
      <c r="F26" s="1073" t="s">
        <v>1993</v>
      </c>
      <c r="G26" s="113" t="s">
        <v>1995</v>
      </c>
      <c r="H26" s="91"/>
      <c r="I26" s="91"/>
      <c r="J26" s="114"/>
      <c r="K26" s="114">
        <v>1</v>
      </c>
      <c r="L26" s="114"/>
      <c r="M26" s="114"/>
      <c r="N26" s="114"/>
      <c r="O26" s="114"/>
      <c r="P26" s="114"/>
      <c r="Q26" s="114"/>
      <c r="R26" s="114">
        <v>1</v>
      </c>
      <c r="S26" s="104"/>
      <c r="T26" s="1084">
        <f>COUNTIF(H26:S26,1)</f>
        <v>2</v>
      </c>
      <c r="U26" s="1078">
        <f>COUNTIF(H27:S27,2)</f>
        <v>0</v>
      </c>
      <c r="V26" s="1078">
        <f>COUNTIF(H27:S27,3)</f>
        <v>0</v>
      </c>
      <c r="W26" s="1080">
        <f>IF(T26=0,"N/A",U26/T26)</f>
        <v>0</v>
      </c>
      <c r="X26" s="1082">
        <f>IF(T26=0,"N/A",V26/T26)</f>
        <v>0</v>
      </c>
      <c r="Y26" s="536"/>
      <c r="Z26" s="96"/>
      <c r="AA26" s="96"/>
    </row>
    <row r="27" spans="1:27" s="80" customFormat="1" ht="36.75" customHeight="1" thickBot="1" x14ac:dyDescent="0.25">
      <c r="A27" s="1067"/>
      <c r="B27" s="1089"/>
      <c r="C27" s="1097"/>
      <c r="D27" s="1072"/>
      <c r="E27" s="1072"/>
      <c r="F27" s="1074"/>
      <c r="G27" s="113" t="s">
        <v>1996</v>
      </c>
      <c r="H27" s="91"/>
      <c r="I27" s="114"/>
      <c r="J27" s="114"/>
      <c r="K27" s="91"/>
      <c r="L27" s="114"/>
      <c r="M27" s="114"/>
      <c r="N27" s="114"/>
      <c r="O27" s="114"/>
      <c r="P27" s="114"/>
      <c r="Q27" s="114"/>
      <c r="R27" s="115"/>
      <c r="S27" s="104"/>
      <c r="T27" s="1085"/>
      <c r="U27" s="1079"/>
      <c r="V27" s="1079"/>
      <c r="W27" s="1081"/>
      <c r="X27" s="1083"/>
      <c r="Y27" s="536"/>
      <c r="Z27" s="96"/>
      <c r="AA27" s="96"/>
    </row>
    <row r="28" spans="1:27" s="80" customFormat="1" ht="25.5" customHeight="1" x14ac:dyDescent="0.2">
      <c r="A28" s="1066">
        <v>12</v>
      </c>
      <c r="B28" s="1107" t="s">
        <v>2063</v>
      </c>
      <c r="C28" s="1068" t="s">
        <v>2064</v>
      </c>
      <c r="D28" s="1072" t="s">
        <v>543</v>
      </c>
      <c r="E28" s="1072" t="s">
        <v>2036</v>
      </c>
      <c r="F28" s="1073" t="s">
        <v>2065</v>
      </c>
      <c r="G28" s="113" t="s">
        <v>1995</v>
      </c>
      <c r="H28" s="114">
        <v>1</v>
      </c>
      <c r="I28" s="114">
        <v>1</v>
      </c>
      <c r="J28" s="114">
        <v>1</v>
      </c>
      <c r="K28" s="114">
        <v>1</v>
      </c>
      <c r="L28" s="114">
        <v>1</v>
      </c>
      <c r="M28" s="114">
        <v>1</v>
      </c>
      <c r="N28" s="119">
        <v>1</v>
      </c>
      <c r="O28" s="114">
        <v>1</v>
      </c>
      <c r="P28" s="114">
        <v>1</v>
      </c>
      <c r="Q28" s="114">
        <v>1</v>
      </c>
      <c r="R28" s="115">
        <v>1</v>
      </c>
      <c r="S28" s="104">
        <v>1</v>
      </c>
      <c r="T28" s="1084">
        <f>COUNTIF(H28:S28,1)</f>
        <v>12</v>
      </c>
      <c r="U28" s="1078">
        <f>COUNTIF(H29:S29,2)</f>
        <v>0</v>
      </c>
      <c r="V28" s="1078">
        <f>COUNTIF(H29:S29,3)</f>
        <v>0</v>
      </c>
      <c r="W28" s="1080">
        <f>IF(T28=0,"N/A",U28/T28)</f>
        <v>0</v>
      </c>
      <c r="X28" s="1082">
        <f>IF(T28=0,"N/A",V28/T28)</f>
        <v>0</v>
      </c>
      <c r="Y28" s="536"/>
      <c r="Z28" s="96"/>
      <c r="AA28" s="96"/>
    </row>
    <row r="29" spans="1:27" s="80" customFormat="1" ht="32.25" customHeight="1" thickBot="1" x14ac:dyDescent="0.25">
      <c r="A29" s="1067"/>
      <c r="B29" s="1089"/>
      <c r="C29" s="1069"/>
      <c r="D29" s="1072"/>
      <c r="E29" s="1072"/>
      <c r="F29" s="1074"/>
      <c r="G29" s="113" t="s">
        <v>1996</v>
      </c>
      <c r="H29" s="114">
        <v>1</v>
      </c>
      <c r="I29" s="114">
        <v>1</v>
      </c>
      <c r="J29" s="114">
        <v>1</v>
      </c>
      <c r="K29" s="91">
        <v>1</v>
      </c>
      <c r="L29" s="91">
        <v>1</v>
      </c>
      <c r="M29" s="91">
        <v>1</v>
      </c>
      <c r="N29" s="91"/>
      <c r="O29" s="91"/>
      <c r="P29" s="91"/>
      <c r="Q29" s="91"/>
      <c r="R29" s="110"/>
      <c r="S29" s="533"/>
      <c r="T29" s="1085"/>
      <c r="U29" s="1079"/>
      <c r="V29" s="1079"/>
      <c r="W29" s="1081"/>
      <c r="X29" s="1083"/>
      <c r="Y29" s="536"/>
      <c r="Z29" s="96"/>
      <c r="AA29" s="96"/>
    </row>
    <row r="30" spans="1:27" s="80" customFormat="1" ht="15" customHeight="1" x14ac:dyDescent="0.2">
      <c r="A30" s="1066">
        <v>13</v>
      </c>
      <c r="B30" s="1106" t="s">
        <v>2066</v>
      </c>
      <c r="C30" s="1068" t="s">
        <v>2067</v>
      </c>
      <c r="D30" s="1072" t="s">
        <v>543</v>
      </c>
      <c r="E30" s="1072" t="s">
        <v>2036</v>
      </c>
      <c r="F30" s="1073" t="s">
        <v>1993</v>
      </c>
      <c r="G30" s="113" t="s">
        <v>1995</v>
      </c>
      <c r="H30" s="114">
        <v>1</v>
      </c>
      <c r="I30" s="114">
        <v>1</v>
      </c>
      <c r="J30" s="114">
        <v>1</v>
      </c>
      <c r="K30" s="114">
        <v>1</v>
      </c>
      <c r="L30" s="114">
        <v>1</v>
      </c>
      <c r="M30" s="114">
        <v>1</v>
      </c>
      <c r="N30" s="119">
        <v>1</v>
      </c>
      <c r="O30" s="114">
        <v>1</v>
      </c>
      <c r="P30" s="114">
        <v>1</v>
      </c>
      <c r="Q30" s="114">
        <v>1</v>
      </c>
      <c r="R30" s="115">
        <v>1</v>
      </c>
      <c r="S30" s="104">
        <v>1</v>
      </c>
      <c r="T30" s="1084">
        <f>COUNTIF(H30:S30,1)</f>
        <v>12</v>
      </c>
      <c r="U30" s="1078">
        <f>COUNTIF(H31:S31,2)</f>
        <v>0</v>
      </c>
      <c r="V30" s="1078">
        <f>COUNTIF(H31:S31,3)</f>
        <v>0</v>
      </c>
      <c r="W30" s="1080">
        <f>IF(T30=0,"N/A",U30/T30)</f>
        <v>0</v>
      </c>
      <c r="X30" s="1082">
        <f>IF(T30=0,"N/A",V30/T30)</f>
        <v>0</v>
      </c>
      <c r="Y30" s="536"/>
      <c r="Z30" s="96"/>
      <c r="AA30" s="96"/>
    </row>
    <row r="31" spans="1:27" s="80" customFormat="1" ht="20.25" customHeight="1" thickBot="1" x14ac:dyDescent="0.25">
      <c r="A31" s="1067"/>
      <c r="B31" s="1089"/>
      <c r="C31" s="1069"/>
      <c r="D31" s="1072"/>
      <c r="E31" s="1072"/>
      <c r="F31" s="1074"/>
      <c r="G31" s="113" t="s">
        <v>1996</v>
      </c>
      <c r="H31" s="114">
        <v>0</v>
      </c>
      <c r="I31" s="114">
        <v>0</v>
      </c>
      <c r="J31" s="114">
        <v>0</v>
      </c>
      <c r="K31" s="91">
        <v>0</v>
      </c>
      <c r="L31" s="91">
        <v>1</v>
      </c>
      <c r="M31" s="91">
        <v>1</v>
      </c>
      <c r="N31" s="91"/>
      <c r="O31" s="91"/>
      <c r="P31" s="91"/>
      <c r="Q31" s="91"/>
      <c r="R31" s="110"/>
      <c r="S31" s="533"/>
      <c r="T31" s="1085"/>
      <c r="U31" s="1079"/>
      <c r="V31" s="1079"/>
      <c r="W31" s="1081"/>
      <c r="X31" s="1083"/>
      <c r="Y31" s="536"/>
      <c r="Z31" s="96"/>
      <c r="AA31" s="96"/>
    </row>
    <row r="32" spans="1:27" s="80" customFormat="1" ht="20.25" customHeight="1" x14ac:dyDescent="0.2">
      <c r="A32" s="1066">
        <v>14</v>
      </c>
      <c r="B32" s="1107" t="s">
        <v>2068</v>
      </c>
      <c r="C32" s="1068" t="s">
        <v>2069</v>
      </c>
      <c r="D32" s="1072" t="s">
        <v>543</v>
      </c>
      <c r="E32" s="1072" t="s">
        <v>2036</v>
      </c>
      <c r="F32" s="1073" t="s">
        <v>1993</v>
      </c>
      <c r="G32" s="113" t="s">
        <v>1995</v>
      </c>
      <c r="H32" s="114">
        <v>1</v>
      </c>
      <c r="I32" s="114">
        <v>1</v>
      </c>
      <c r="J32" s="114">
        <v>1</v>
      </c>
      <c r="K32" s="114">
        <v>1</v>
      </c>
      <c r="L32" s="114">
        <v>1</v>
      </c>
      <c r="M32" s="114">
        <v>1</v>
      </c>
      <c r="N32" s="119">
        <v>1</v>
      </c>
      <c r="O32" s="114">
        <v>1</v>
      </c>
      <c r="P32" s="114">
        <v>1</v>
      </c>
      <c r="Q32" s="114">
        <v>1</v>
      </c>
      <c r="R32" s="115">
        <v>1</v>
      </c>
      <c r="S32" s="104">
        <v>1</v>
      </c>
      <c r="T32" s="1084">
        <f>COUNTIF(H32:S32,1)</f>
        <v>12</v>
      </c>
      <c r="U32" s="1078">
        <f>COUNTIF(H33:S33,2)</f>
        <v>0</v>
      </c>
      <c r="V32" s="1078">
        <f>COUNTIF(H33:S33,3)</f>
        <v>0</v>
      </c>
      <c r="W32" s="1080">
        <f>IF(T32=0,"N/A",U32/T32)</f>
        <v>0</v>
      </c>
      <c r="X32" s="1082">
        <f>IF(T32=0,"N/A",V32/T32)</f>
        <v>0</v>
      </c>
      <c r="Y32" s="536"/>
      <c r="Z32" s="96"/>
      <c r="AA32" s="96"/>
    </row>
    <row r="33" spans="1:27" s="80" customFormat="1" ht="20.25" customHeight="1" thickBot="1" x14ac:dyDescent="0.25">
      <c r="A33" s="1067"/>
      <c r="B33" s="1089"/>
      <c r="C33" s="1069"/>
      <c r="D33" s="1072"/>
      <c r="E33" s="1072"/>
      <c r="F33" s="1074"/>
      <c r="G33" s="113" t="s">
        <v>1996</v>
      </c>
      <c r="H33" s="114">
        <v>1</v>
      </c>
      <c r="I33" s="114">
        <v>1</v>
      </c>
      <c r="J33" s="114">
        <v>1</v>
      </c>
      <c r="K33" s="91">
        <v>1</v>
      </c>
      <c r="L33" s="91">
        <v>1</v>
      </c>
      <c r="M33" s="91">
        <v>1</v>
      </c>
      <c r="N33" s="91"/>
      <c r="O33" s="91"/>
      <c r="P33" s="91"/>
      <c r="Q33" s="91"/>
      <c r="R33" s="110"/>
      <c r="S33" s="533"/>
      <c r="T33" s="1085"/>
      <c r="U33" s="1079"/>
      <c r="V33" s="1079"/>
      <c r="W33" s="1081"/>
      <c r="X33" s="1083"/>
      <c r="Y33" s="536"/>
      <c r="Z33" s="96"/>
      <c r="AA33" s="96"/>
    </row>
    <row r="34" spans="1:27" s="80" customFormat="1" ht="72" customHeight="1" x14ac:dyDescent="0.2">
      <c r="A34" s="1066">
        <v>15</v>
      </c>
      <c r="B34" s="1102" t="s">
        <v>2070</v>
      </c>
      <c r="C34" s="1104" t="s">
        <v>2071</v>
      </c>
      <c r="D34" s="1072" t="s">
        <v>543</v>
      </c>
      <c r="E34" s="1072" t="s">
        <v>2036</v>
      </c>
      <c r="F34" s="1073" t="s">
        <v>1993</v>
      </c>
      <c r="G34" s="113" t="s">
        <v>1995</v>
      </c>
      <c r="H34" s="114"/>
      <c r="I34" s="114"/>
      <c r="J34" s="114"/>
      <c r="K34" s="91"/>
      <c r="L34" s="91">
        <v>2</v>
      </c>
      <c r="M34" s="91">
        <v>1</v>
      </c>
      <c r="N34" s="91">
        <v>2</v>
      </c>
      <c r="O34" s="91"/>
      <c r="P34" s="91"/>
      <c r="Q34" s="91"/>
      <c r="R34" s="110">
        <v>1</v>
      </c>
      <c r="S34" s="533"/>
      <c r="T34" s="529"/>
      <c r="U34" s="528"/>
      <c r="V34" s="528"/>
      <c r="W34" s="117"/>
      <c r="X34" s="118"/>
      <c r="Y34" s="536"/>
      <c r="Z34" s="96"/>
      <c r="AA34" s="96"/>
    </row>
    <row r="35" spans="1:27" s="80" customFormat="1" ht="86.1" customHeight="1" thickBot="1" x14ac:dyDescent="0.25">
      <c r="A35" s="1067"/>
      <c r="B35" s="1103"/>
      <c r="C35" s="1108"/>
      <c r="D35" s="1072"/>
      <c r="E35" s="1072"/>
      <c r="F35" s="1074"/>
      <c r="G35" s="113" t="s">
        <v>1996</v>
      </c>
      <c r="H35" s="114"/>
      <c r="I35" s="114"/>
      <c r="J35" s="114"/>
      <c r="K35" s="91"/>
      <c r="L35" s="91"/>
      <c r="M35" s="91">
        <v>1</v>
      </c>
      <c r="N35" s="91"/>
      <c r="O35" s="91"/>
      <c r="P35" s="91"/>
      <c r="Q35" s="91"/>
      <c r="R35" s="110"/>
      <c r="S35" s="533"/>
      <c r="T35" s="529"/>
      <c r="U35" s="528"/>
      <c r="V35" s="528"/>
      <c r="W35" s="117"/>
      <c r="X35" s="118"/>
      <c r="Y35" s="536"/>
      <c r="Z35" s="96"/>
      <c r="AA35" s="96"/>
    </row>
    <row r="36" spans="1:27" s="80" customFormat="1" ht="33" customHeight="1" x14ac:dyDescent="0.2">
      <c r="A36" s="1066">
        <v>16</v>
      </c>
      <c r="B36" s="1102" t="s">
        <v>2072</v>
      </c>
      <c r="C36" s="1109" t="s">
        <v>2073</v>
      </c>
      <c r="D36" s="1072" t="s">
        <v>543</v>
      </c>
      <c r="E36" s="1072" t="s">
        <v>2036</v>
      </c>
      <c r="F36" s="1073" t="s">
        <v>1993</v>
      </c>
      <c r="G36" s="113" t="s">
        <v>1995</v>
      </c>
      <c r="H36" s="114"/>
      <c r="I36" s="114"/>
      <c r="J36" s="114"/>
      <c r="K36" s="91"/>
      <c r="L36" s="91">
        <v>1</v>
      </c>
      <c r="M36" s="91"/>
      <c r="N36" s="91"/>
      <c r="O36" s="91"/>
      <c r="P36" s="91"/>
      <c r="Q36" s="91"/>
      <c r="R36" s="110">
        <v>1</v>
      </c>
      <c r="S36" s="533"/>
      <c r="T36" s="529"/>
      <c r="U36" s="528"/>
      <c r="V36" s="528"/>
      <c r="W36" s="117"/>
      <c r="X36" s="118"/>
      <c r="Y36" s="536"/>
      <c r="Z36" s="96"/>
      <c r="AA36" s="96"/>
    </row>
    <row r="37" spans="1:27" s="80" customFormat="1" ht="30.75" customHeight="1" thickBot="1" x14ac:dyDescent="0.25">
      <c r="A37" s="1067"/>
      <c r="B37" s="1103"/>
      <c r="C37" s="1110"/>
      <c r="D37" s="1072"/>
      <c r="E37" s="1072"/>
      <c r="F37" s="1074"/>
      <c r="G37" s="113" t="s">
        <v>1996</v>
      </c>
      <c r="H37" s="114"/>
      <c r="I37" s="114"/>
      <c r="J37" s="114"/>
      <c r="K37" s="91"/>
      <c r="L37" s="91">
        <v>1</v>
      </c>
      <c r="M37" s="91"/>
      <c r="N37" s="91"/>
      <c r="O37" s="91"/>
      <c r="P37" s="91"/>
      <c r="Q37" s="91"/>
      <c r="R37" s="110"/>
      <c r="S37" s="533"/>
      <c r="T37" s="529"/>
      <c r="U37" s="528"/>
      <c r="V37" s="528"/>
      <c r="W37" s="117"/>
      <c r="X37" s="118"/>
      <c r="Y37" s="536"/>
      <c r="Z37" s="96"/>
      <c r="AA37" s="96"/>
    </row>
    <row r="38" spans="1:27" s="80" customFormat="1" ht="51" customHeight="1" x14ac:dyDescent="0.2">
      <c r="A38" s="1066">
        <v>17</v>
      </c>
      <c r="B38" s="1102" t="s">
        <v>2074</v>
      </c>
      <c r="C38" s="1100" t="s">
        <v>2075</v>
      </c>
      <c r="D38" s="1072" t="s">
        <v>543</v>
      </c>
      <c r="E38" s="1072" t="s">
        <v>2036</v>
      </c>
      <c r="F38" s="1073" t="s">
        <v>1993</v>
      </c>
      <c r="G38" s="113" t="s">
        <v>1995</v>
      </c>
      <c r="H38" s="114"/>
      <c r="I38" s="114"/>
      <c r="J38" s="114"/>
      <c r="K38" s="91">
        <v>1</v>
      </c>
      <c r="L38" s="91"/>
      <c r="M38" s="91"/>
      <c r="N38" s="91"/>
      <c r="O38" s="91"/>
      <c r="P38" s="91"/>
      <c r="Q38" s="91"/>
      <c r="R38" s="110"/>
      <c r="S38" s="533"/>
      <c r="T38" s="529"/>
      <c r="U38" s="528"/>
      <c r="V38" s="528"/>
      <c r="W38" s="117"/>
      <c r="X38" s="118"/>
      <c r="Y38" s="536"/>
      <c r="Z38" s="96"/>
      <c r="AA38" s="96"/>
    </row>
    <row r="39" spans="1:27" s="80" customFormat="1" ht="44.1" customHeight="1" thickBot="1" x14ac:dyDescent="0.25">
      <c r="A39" s="1067"/>
      <c r="B39" s="1103"/>
      <c r="C39" s="1101"/>
      <c r="D39" s="1072"/>
      <c r="E39" s="1072"/>
      <c r="F39" s="1074"/>
      <c r="G39" s="113" t="s">
        <v>1996</v>
      </c>
      <c r="H39" s="114"/>
      <c r="I39" s="114"/>
      <c r="J39" s="114"/>
      <c r="K39" s="91">
        <v>1</v>
      </c>
      <c r="L39" s="91"/>
      <c r="M39" s="91"/>
      <c r="N39" s="91"/>
      <c r="O39" s="91"/>
      <c r="P39" s="91"/>
      <c r="Q39" s="91"/>
      <c r="R39" s="110"/>
      <c r="S39" s="533"/>
      <c r="T39" s="529"/>
      <c r="U39" s="528"/>
      <c r="V39" s="528"/>
      <c r="W39" s="117"/>
      <c r="X39" s="118"/>
      <c r="Y39" s="536"/>
      <c r="Z39" s="96"/>
      <c r="AA39" s="96"/>
    </row>
    <row r="40" spans="1:27" s="80" customFormat="1" ht="31.5" customHeight="1" x14ac:dyDescent="0.2">
      <c r="A40" s="1066">
        <v>18</v>
      </c>
      <c r="B40" s="1106" t="s">
        <v>2076</v>
      </c>
      <c r="C40" s="1114" t="s">
        <v>2077</v>
      </c>
      <c r="D40" s="1072" t="s">
        <v>543</v>
      </c>
      <c r="E40" s="1072" t="s">
        <v>2036</v>
      </c>
      <c r="F40" s="1073" t="s">
        <v>2078</v>
      </c>
      <c r="G40" s="113" t="s">
        <v>1995</v>
      </c>
      <c r="H40" s="114">
        <v>1</v>
      </c>
      <c r="I40" s="114">
        <v>1</v>
      </c>
      <c r="J40" s="114">
        <v>1</v>
      </c>
      <c r="K40" s="114">
        <v>1</v>
      </c>
      <c r="L40" s="114">
        <v>1</v>
      </c>
      <c r="M40" s="114">
        <v>1</v>
      </c>
      <c r="N40" s="119">
        <v>1</v>
      </c>
      <c r="O40" s="114">
        <v>1</v>
      </c>
      <c r="P40" s="114">
        <v>1</v>
      </c>
      <c r="Q40" s="114">
        <v>1</v>
      </c>
      <c r="R40" s="115">
        <v>1</v>
      </c>
      <c r="S40" s="104">
        <v>1</v>
      </c>
      <c r="T40" s="1084">
        <f>COUNTIF(H40:S40,1)</f>
        <v>12</v>
      </c>
      <c r="U40" s="1078">
        <f>COUNTIF(H41:S41,2)</f>
        <v>0</v>
      </c>
      <c r="V40" s="1078">
        <f>COUNTIF(H41:S41,3)</f>
        <v>0</v>
      </c>
      <c r="W40" s="1080">
        <f>IF(T40=0,"N/A",U40/T40)</f>
        <v>0</v>
      </c>
      <c r="X40" s="1082">
        <f>IF(T40=0,"N/A",V40/T40)</f>
        <v>0</v>
      </c>
      <c r="Y40" s="536"/>
      <c r="Z40" s="96"/>
      <c r="AA40" s="96"/>
    </row>
    <row r="41" spans="1:27" s="80" customFormat="1" ht="27" customHeight="1" thickBot="1" x14ac:dyDescent="0.25">
      <c r="A41" s="1067"/>
      <c r="B41" s="1089"/>
      <c r="C41" s="1069"/>
      <c r="D41" s="1072"/>
      <c r="E41" s="1072"/>
      <c r="F41" s="1074"/>
      <c r="G41" s="113" t="s">
        <v>1996</v>
      </c>
      <c r="H41" s="114">
        <v>1</v>
      </c>
      <c r="I41" s="114">
        <v>1</v>
      </c>
      <c r="J41" s="114">
        <v>1</v>
      </c>
      <c r="K41" s="91">
        <v>1</v>
      </c>
      <c r="L41" s="91">
        <v>1</v>
      </c>
      <c r="M41" s="91">
        <v>1</v>
      </c>
      <c r="N41" s="91"/>
      <c r="O41" s="91"/>
      <c r="P41" s="91"/>
      <c r="Q41" s="91"/>
      <c r="R41" s="110"/>
      <c r="S41" s="533"/>
      <c r="T41" s="1085"/>
      <c r="U41" s="1079"/>
      <c r="V41" s="1079"/>
      <c r="W41" s="1081"/>
      <c r="X41" s="1083"/>
      <c r="Y41" s="536"/>
      <c r="Z41" s="96"/>
      <c r="AA41" s="96"/>
    </row>
    <row r="42" spans="1:27" s="80" customFormat="1" ht="15" customHeight="1" x14ac:dyDescent="0.2">
      <c r="A42" s="1111" t="s">
        <v>2000</v>
      </c>
      <c r="B42" s="1112"/>
      <c r="C42" s="1112"/>
      <c r="D42" s="1112"/>
      <c r="E42" s="1112"/>
      <c r="F42" s="1112"/>
      <c r="G42" s="1113"/>
      <c r="H42" s="120">
        <f>+SUM(H6:H41)</f>
        <v>14</v>
      </c>
      <c r="I42" s="120">
        <f t="shared" ref="I42:Q42" si="0">+SUM(I6:I41)</f>
        <v>10</v>
      </c>
      <c r="J42" s="120">
        <f t="shared" si="0"/>
        <v>8</v>
      </c>
      <c r="K42" s="120">
        <f t="shared" si="0"/>
        <v>14</v>
      </c>
      <c r="L42" s="120">
        <f t="shared" si="0"/>
        <v>22</v>
      </c>
      <c r="M42" s="120">
        <f t="shared" si="0"/>
        <v>15</v>
      </c>
      <c r="N42" s="120">
        <f t="shared" si="0"/>
        <v>8</v>
      </c>
      <c r="O42" s="120">
        <f t="shared" si="0"/>
        <v>11</v>
      </c>
      <c r="P42" s="120">
        <f t="shared" si="0"/>
        <v>7</v>
      </c>
      <c r="Q42" s="120">
        <f t="shared" si="0"/>
        <v>6</v>
      </c>
      <c r="R42" s="120">
        <f>+SUM(R6:R41)</f>
        <v>11</v>
      </c>
      <c r="S42" s="120">
        <f>+SUM(S6:S41)</f>
        <v>9</v>
      </c>
      <c r="T42" s="96">
        <f>SUM(H42:S42)</f>
        <v>135</v>
      </c>
      <c r="U42" s="96"/>
      <c r="V42" s="96"/>
      <c r="W42" s="96"/>
      <c r="X42" s="96"/>
      <c r="Y42" s="536">
        <f>SUM(H42:S42)</f>
        <v>135</v>
      </c>
      <c r="Z42" s="96"/>
      <c r="AA42" s="96"/>
    </row>
    <row r="43" spans="1:27" s="80" customFormat="1" ht="15" customHeight="1" x14ac:dyDescent="0.2">
      <c r="A43" s="1115" t="s">
        <v>2001</v>
      </c>
      <c r="B43" s="1116"/>
      <c r="C43" s="1116"/>
      <c r="D43" s="1116"/>
      <c r="E43" s="1116"/>
      <c r="F43" s="1116"/>
      <c r="G43" s="1052"/>
      <c r="H43" s="120">
        <f t="shared" ref="H43:S43" si="1">COUNTIF(H8:H41,2)</f>
        <v>0</v>
      </c>
      <c r="I43" s="120">
        <f t="shared" si="1"/>
        <v>0</v>
      </c>
      <c r="J43" s="120">
        <f t="shared" si="1"/>
        <v>0</v>
      </c>
      <c r="K43" s="120">
        <f t="shared" si="1"/>
        <v>0</v>
      </c>
      <c r="L43" s="120">
        <f t="shared" si="1"/>
        <v>1</v>
      </c>
      <c r="M43" s="120">
        <f t="shared" si="1"/>
        <v>0</v>
      </c>
      <c r="N43" s="120">
        <f t="shared" si="1"/>
        <v>1</v>
      </c>
      <c r="O43" s="120">
        <f t="shared" si="1"/>
        <v>0</v>
      </c>
      <c r="P43" s="120">
        <f t="shared" si="1"/>
        <v>0</v>
      </c>
      <c r="Q43" s="120">
        <f t="shared" si="1"/>
        <v>0</v>
      </c>
      <c r="R43" s="537">
        <f t="shared" si="1"/>
        <v>0</v>
      </c>
      <c r="S43" s="121">
        <f t="shared" si="1"/>
        <v>0</v>
      </c>
      <c r="T43" s="536"/>
      <c r="U43" s="536"/>
      <c r="V43" s="536"/>
      <c r="W43" s="536"/>
      <c r="X43" s="536"/>
      <c r="Y43" s="536">
        <f>SUM(H43:S43)</f>
        <v>2</v>
      </c>
      <c r="Z43" s="96"/>
      <c r="AA43" s="96"/>
    </row>
    <row r="44" spans="1:27" s="80" customFormat="1" ht="15" customHeight="1" thickBot="1" x14ac:dyDescent="0.25">
      <c r="A44" s="1115" t="s">
        <v>2002</v>
      </c>
      <c r="B44" s="1116"/>
      <c r="C44" s="1116"/>
      <c r="D44" s="1116"/>
      <c r="E44" s="1116"/>
      <c r="F44" s="1116"/>
      <c r="G44" s="1052"/>
      <c r="H44" s="122">
        <f t="shared" ref="H44:S44" si="2">COUNTIF(H10:H41,3)</f>
        <v>0</v>
      </c>
      <c r="I44" s="122">
        <f t="shared" si="2"/>
        <v>0</v>
      </c>
      <c r="J44" s="122">
        <f t="shared" si="2"/>
        <v>0</v>
      </c>
      <c r="K44" s="122">
        <f t="shared" si="2"/>
        <v>0</v>
      </c>
      <c r="L44" s="122">
        <f t="shared" si="2"/>
        <v>0</v>
      </c>
      <c r="M44" s="122">
        <f t="shared" si="2"/>
        <v>0</v>
      </c>
      <c r="N44" s="122">
        <f t="shared" si="2"/>
        <v>0</v>
      </c>
      <c r="O44" s="122">
        <f t="shared" si="2"/>
        <v>0</v>
      </c>
      <c r="P44" s="122">
        <f t="shared" si="2"/>
        <v>0</v>
      </c>
      <c r="Q44" s="122">
        <f t="shared" si="2"/>
        <v>0</v>
      </c>
      <c r="R44" s="123">
        <f t="shared" si="2"/>
        <v>0</v>
      </c>
      <c r="S44" s="124">
        <f t="shared" si="2"/>
        <v>0</v>
      </c>
      <c r="T44" s="96"/>
      <c r="U44" s="96"/>
      <c r="V44" s="96"/>
      <c r="W44" s="96"/>
      <c r="X44" s="96"/>
      <c r="Y44" s="536">
        <f>SUM(H44:S44)</f>
        <v>0</v>
      </c>
      <c r="Z44" s="96"/>
      <c r="AA44" s="96"/>
    </row>
    <row r="45" spans="1:27" s="80" customFormat="1" ht="15" customHeight="1" thickBot="1" x14ac:dyDescent="0.25">
      <c r="A45" s="530"/>
      <c r="B45" s="530"/>
      <c r="C45" s="530"/>
      <c r="D45" s="530"/>
      <c r="E45" s="530"/>
      <c r="F45" s="530"/>
      <c r="G45" s="530"/>
      <c r="H45" s="1117">
        <f>+H42+I42+J42</f>
        <v>32</v>
      </c>
      <c r="I45" s="1118"/>
      <c r="J45" s="1119"/>
      <c r="K45" s="1117">
        <f>+K42+L42+M42</f>
        <v>51</v>
      </c>
      <c r="L45" s="1118"/>
      <c r="M45" s="1119"/>
      <c r="N45" s="1117">
        <f>+N42+O42+P42</f>
        <v>26</v>
      </c>
      <c r="O45" s="1118"/>
      <c r="P45" s="1119"/>
      <c r="Q45" s="1117">
        <f>+Q42+R42+S42</f>
        <v>26</v>
      </c>
      <c r="R45" s="1118"/>
      <c r="S45" s="1119"/>
      <c r="T45" s="96"/>
      <c r="U45" s="96"/>
      <c r="V45" s="96"/>
      <c r="W45" s="96"/>
      <c r="X45" s="96"/>
      <c r="Y45" s="536"/>
      <c r="Z45" s="96"/>
      <c r="AA45" s="96"/>
    </row>
    <row r="46" spans="1:27" s="80" customFormat="1" ht="15" customHeight="1" x14ac:dyDescent="0.2">
      <c r="A46" s="530"/>
      <c r="B46" s="530"/>
      <c r="C46" s="530"/>
      <c r="D46" s="530"/>
      <c r="E46" s="530"/>
      <c r="F46" s="530"/>
      <c r="G46" s="530"/>
      <c r="H46" s="96"/>
      <c r="I46" s="96"/>
      <c r="J46" s="96"/>
      <c r="K46" s="96"/>
      <c r="L46" s="96"/>
      <c r="M46" s="96"/>
      <c r="N46" s="96"/>
      <c r="O46" s="96"/>
      <c r="P46" s="96"/>
      <c r="Q46" s="96"/>
      <c r="R46" s="96"/>
      <c r="S46" s="96"/>
      <c r="T46" s="96"/>
      <c r="U46" s="96"/>
      <c r="V46" s="96"/>
      <c r="W46" s="96"/>
      <c r="X46" s="96"/>
      <c r="Y46" s="536"/>
      <c r="Z46" s="96"/>
      <c r="AA46" s="96"/>
    </row>
    <row r="47" spans="1:27" s="80" customFormat="1" ht="15" customHeight="1" x14ac:dyDescent="0.2">
      <c r="A47" s="530"/>
      <c r="B47" s="530"/>
      <c r="C47" s="530"/>
      <c r="D47" s="530"/>
      <c r="E47" s="530"/>
      <c r="F47" s="530"/>
      <c r="G47" s="530"/>
      <c r="H47" s="96"/>
      <c r="I47" s="96">
        <f>+H45/103</f>
        <v>0.31067961165048541</v>
      </c>
      <c r="J47" s="96"/>
      <c r="K47" s="96"/>
      <c r="L47" s="96">
        <f>+K45/103</f>
        <v>0.49514563106796117</v>
      </c>
      <c r="M47" s="96"/>
      <c r="N47" s="96"/>
      <c r="O47" s="96">
        <f>+N45/103</f>
        <v>0.25242718446601942</v>
      </c>
      <c r="P47" s="96"/>
      <c r="Q47" s="96"/>
      <c r="R47" s="96">
        <f>+Q45/103</f>
        <v>0.25242718446601942</v>
      </c>
      <c r="S47" s="96"/>
      <c r="T47" s="96"/>
      <c r="U47" s="96"/>
      <c r="V47" s="96"/>
      <c r="W47" s="96"/>
      <c r="X47" s="96"/>
      <c r="Y47" s="536"/>
      <c r="Z47" s="96"/>
      <c r="AA47" s="96"/>
    </row>
    <row r="48" spans="1:27" s="80" customFormat="1" ht="17.25" customHeight="1" x14ac:dyDescent="0.2">
      <c r="A48" s="1120" t="s">
        <v>2005</v>
      </c>
      <c r="B48" s="1121"/>
      <c r="C48" s="62" t="s">
        <v>2006</v>
      </c>
      <c r="D48" s="984" t="s">
        <v>2007</v>
      </c>
      <c r="E48" s="984"/>
      <c r="F48" s="984"/>
      <c r="G48" s="984"/>
      <c r="H48" s="96"/>
      <c r="I48" s="96"/>
      <c r="J48" s="96"/>
      <c r="K48" s="96"/>
      <c r="L48" s="96"/>
      <c r="M48" s="96"/>
      <c r="N48" s="96"/>
      <c r="O48" s="96"/>
      <c r="P48" s="96"/>
      <c r="Q48" s="96"/>
      <c r="R48" s="96"/>
      <c r="S48" s="96"/>
      <c r="T48" s="96"/>
      <c r="U48" s="96"/>
      <c r="V48" s="96"/>
      <c r="W48" s="96"/>
      <c r="X48" s="96"/>
      <c r="Y48" s="96"/>
      <c r="Z48" s="96"/>
      <c r="AA48" s="96"/>
    </row>
    <row r="49" spans="1:27" s="80" customFormat="1" ht="17.25" customHeight="1" x14ac:dyDescent="0.2">
      <c r="A49" s="1122"/>
      <c r="B49" s="1123"/>
      <c r="C49" s="64" t="s">
        <v>2008</v>
      </c>
      <c r="D49" s="1120"/>
      <c r="E49" s="1121"/>
      <c r="F49" s="1121"/>
      <c r="G49" s="1121"/>
      <c r="H49" s="96"/>
      <c r="I49" s="96">
        <v>103</v>
      </c>
      <c r="J49" s="96"/>
      <c r="K49" s="96"/>
      <c r="L49" s="96"/>
      <c r="M49" s="96"/>
      <c r="N49" s="96"/>
      <c r="O49" s="96"/>
      <c r="P49" s="96"/>
      <c r="Q49" s="96"/>
      <c r="R49" s="96"/>
      <c r="S49" s="96"/>
      <c r="T49" s="96"/>
      <c r="U49" s="96"/>
      <c r="V49" s="96"/>
      <c r="W49" s="96"/>
      <c r="X49" s="96"/>
      <c r="Y49" s="96"/>
      <c r="Z49" s="96"/>
      <c r="AA49" s="96"/>
    </row>
    <row r="50" spans="1:27" s="80" customFormat="1" ht="12" customHeight="1" x14ac:dyDescent="0.2">
      <c r="A50" s="1124" t="s">
        <v>1995</v>
      </c>
      <c r="B50" s="1113"/>
      <c r="C50" s="125">
        <v>1</v>
      </c>
      <c r="D50" s="96"/>
      <c r="E50" s="96"/>
      <c r="F50" s="1125"/>
      <c r="G50" s="126"/>
      <c r="H50" s="126"/>
      <c r="I50" s="126"/>
      <c r="J50" s="126"/>
      <c r="K50" s="126"/>
      <c r="L50" s="126"/>
      <c r="M50" s="126"/>
      <c r="N50" s="126"/>
      <c r="O50" s="126"/>
      <c r="P50" s="126"/>
      <c r="Q50" s="1126"/>
      <c r="R50" s="1125"/>
      <c r="S50" s="127"/>
      <c r="T50" s="96"/>
      <c r="U50" s="96"/>
      <c r="V50" s="96"/>
      <c r="W50" s="96"/>
      <c r="X50" s="96"/>
      <c r="Y50" s="536"/>
      <c r="Z50" s="536"/>
      <c r="AA50" s="536"/>
    </row>
    <row r="51" spans="1:27" s="80" customFormat="1" ht="15" customHeight="1" x14ac:dyDescent="0.2">
      <c r="A51" s="1127" t="s">
        <v>1996</v>
      </c>
      <c r="B51" s="1052"/>
      <c r="C51" s="128">
        <v>2</v>
      </c>
      <c r="D51" s="96"/>
      <c r="E51" s="96"/>
      <c r="F51" s="1125"/>
      <c r="G51" s="96"/>
      <c r="H51" s="96"/>
      <c r="I51" s="96"/>
      <c r="J51" s="96"/>
      <c r="K51" s="96"/>
      <c r="L51" s="96"/>
      <c r="M51" s="96"/>
      <c r="N51" s="96"/>
      <c r="O51" s="96"/>
      <c r="P51" s="96"/>
      <c r="Q51" s="96"/>
      <c r="R51" s="96"/>
      <c r="S51" s="96"/>
      <c r="T51" s="96"/>
      <c r="U51" s="96"/>
      <c r="V51" s="96"/>
      <c r="W51" s="96"/>
      <c r="X51" s="96"/>
      <c r="Y51" s="536"/>
      <c r="Z51" s="96"/>
      <c r="AA51" s="96"/>
    </row>
    <row r="52" spans="1:27" s="80" customFormat="1" ht="15" customHeight="1" x14ac:dyDescent="0.2">
      <c r="A52" s="1127" t="s">
        <v>2079</v>
      </c>
      <c r="B52" s="1052"/>
      <c r="C52" s="129">
        <v>3</v>
      </c>
      <c r="D52" s="96"/>
      <c r="E52" s="96"/>
      <c r="F52" s="1125"/>
      <c r="G52" s="96"/>
      <c r="H52" s="130"/>
      <c r="I52" s="96"/>
      <c r="J52" s="96"/>
      <c r="K52" s="96"/>
      <c r="L52" s="96"/>
      <c r="M52" s="96"/>
      <c r="N52" s="96"/>
      <c r="O52" s="96"/>
      <c r="P52" s="96"/>
      <c r="Q52" s="96"/>
      <c r="R52" s="96"/>
      <c r="S52" s="96"/>
      <c r="T52" s="96"/>
      <c r="U52" s="96"/>
      <c r="V52" s="96"/>
      <c r="W52" s="96"/>
      <c r="X52" s="96"/>
      <c r="Y52" s="536"/>
      <c r="Z52" s="96"/>
      <c r="AA52" s="96"/>
    </row>
    <row r="53" spans="1:27" s="80" customFormat="1" ht="12" customHeight="1" x14ac:dyDescent="0.2">
      <c r="A53" s="1127"/>
      <c r="B53" s="1116"/>
      <c r="C53" s="131"/>
      <c r="D53" s="96"/>
      <c r="E53" s="96"/>
      <c r="F53" s="1125"/>
      <c r="G53" s="96"/>
      <c r="H53" s="96"/>
      <c r="I53" s="96"/>
      <c r="J53" s="96"/>
      <c r="K53" s="96"/>
      <c r="L53" s="96"/>
      <c r="M53" s="96"/>
      <c r="N53" s="96"/>
      <c r="O53" s="96"/>
      <c r="P53" s="96"/>
      <c r="Q53" s="96"/>
      <c r="R53" s="96"/>
      <c r="S53" s="96"/>
      <c r="T53" s="96"/>
      <c r="U53" s="96"/>
      <c r="V53" s="96"/>
      <c r="W53" s="96"/>
      <c r="X53" s="96"/>
      <c r="Y53" s="536"/>
      <c r="Z53" s="96"/>
      <c r="AA53" s="96"/>
    </row>
    <row r="54" spans="1:27" s="80" customFormat="1" ht="15" customHeight="1" x14ac:dyDescent="0.2">
      <c r="A54" s="132"/>
      <c r="B54" s="96"/>
      <c r="C54" s="96"/>
      <c r="D54" s="96"/>
      <c r="E54" s="96"/>
      <c r="F54" s="133"/>
      <c r="G54" s="96"/>
      <c r="H54" s="96"/>
      <c r="I54" s="96"/>
      <c r="J54" s="96"/>
      <c r="K54" s="96"/>
      <c r="L54" s="96"/>
      <c r="M54" s="96"/>
      <c r="N54" s="96"/>
      <c r="O54" s="96"/>
      <c r="P54" s="96"/>
      <c r="Q54" s="96"/>
      <c r="R54" s="96"/>
      <c r="S54" s="96"/>
      <c r="T54" s="96"/>
      <c r="U54" s="96"/>
      <c r="V54" s="96"/>
      <c r="W54" s="96"/>
      <c r="X54" s="96"/>
      <c r="Y54" s="536"/>
      <c r="Z54" s="96"/>
      <c r="AA54" s="96"/>
    </row>
    <row r="55" spans="1:27" s="80" customFormat="1" ht="15" customHeight="1" thickBot="1" x14ac:dyDescent="0.25">
      <c r="A55" s="1142"/>
      <c r="B55" s="1125"/>
      <c r="C55" s="1125"/>
      <c r="D55" s="1125"/>
      <c r="E55" s="1125"/>
      <c r="F55" s="1125"/>
      <c r="G55" s="1125"/>
      <c r="H55" s="1125"/>
      <c r="I55" s="1125"/>
      <c r="J55" s="1125"/>
      <c r="K55" s="1125"/>
      <c r="L55" s="1125"/>
      <c r="M55" s="1125"/>
      <c r="N55" s="1125"/>
      <c r="O55" s="1125"/>
      <c r="P55" s="1125"/>
      <c r="Q55" s="1125"/>
      <c r="R55" s="1125"/>
      <c r="S55" s="1125"/>
      <c r="T55" s="1125"/>
      <c r="U55" s="1125"/>
      <c r="V55" s="96"/>
      <c r="W55" s="96"/>
      <c r="X55" s="96"/>
      <c r="Y55" s="536"/>
      <c r="Z55" s="96"/>
      <c r="AA55" s="96"/>
    </row>
    <row r="56" spans="1:27" s="80" customFormat="1" ht="12" customHeight="1" x14ac:dyDescent="0.2">
      <c r="A56" s="1143" t="s">
        <v>2011</v>
      </c>
      <c r="B56" s="1144"/>
      <c r="C56" s="1144"/>
      <c r="D56" s="1144"/>
      <c r="E56" s="1144"/>
      <c r="F56" s="1144"/>
      <c r="G56" s="1144"/>
      <c r="H56" s="1144"/>
      <c r="I56" s="1144"/>
      <c r="J56" s="1144"/>
      <c r="K56" s="1144"/>
      <c r="L56" s="1144"/>
      <c r="M56" s="1144"/>
      <c r="N56" s="1144"/>
      <c r="O56" s="1144"/>
      <c r="P56" s="1145"/>
      <c r="Q56" s="1142"/>
      <c r="R56" s="1125"/>
      <c r="S56" s="1125"/>
      <c r="T56" s="1125"/>
      <c r="U56" s="1125"/>
      <c r="V56" s="96"/>
      <c r="W56" s="96"/>
      <c r="X56" s="96"/>
      <c r="Y56" s="536"/>
      <c r="Z56" s="96"/>
      <c r="AA56" s="96"/>
    </row>
    <row r="57" spans="1:27" s="80" customFormat="1" ht="15" customHeight="1" thickBot="1" x14ac:dyDescent="0.25">
      <c r="A57" s="1139"/>
      <c r="B57" s="1140"/>
      <c r="C57" s="1140"/>
      <c r="D57" s="1140"/>
      <c r="E57" s="1140"/>
      <c r="F57" s="1140"/>
      <c r="G57" s="1140"/>
      <c r="H57" s="1140"/>
      <c r="I57" s="1140"/>
      <c r="J57" s="1140"/>
      <c r="K57" s="1140"/>
      <c r="L57" s="1140"/>
      <c r="M57" s="1140"/>
      <c r="N57" s="1140"/>
      <c r="O57" s="1140"/>
      <c r="P57" s="1141"/>
      <c r="Q57" s="1125"/>
      <c r="R57" s="1125"/>
      <c r="S57" s="1125"/>
      <c r="T57" s="1125"/>
      <c r="U57" s="1125"/>
      <c r="V57" s="96"/>
      <c r="W57" s="96"/>
      <c r="X57" s="96"/>
      <c r="Y57" s="536"/>
      <c r="Z57" s="96"/>
      <c r="AA57" s="96"/>
    </row>
    <row r="58" spans="1:27" s="80" customFormat="1" ht="21" customHeight="1" x14ac:dyDescent="0.2">
      <c r="A58" s="1146"/>
      <c r="B58" s="1125"/>
      <c r="C58" s="1125"/>
      <c r="D58" s="1125"/>
      <c r="E58" s="1125"/>
      <c r="F58" s="1125"/>
      <c r="G58" s="1125"/>
      <c r="H58" s="1125"/>
      <c r="I58" s="1125"/>
      <c r="J58" s="1125"/>
      <c r="K58" s="1125"/>
      <c r="L58" s="1125"/>
      <c r="M58" s="1125"/>
      <c r="N58" s="1125"/>
      <c r="O58" s="1125"/>
      <c r="P58" s="1130"/>
      <c r="Q58" s="1125"/>
      <c r="R58" s="1125"/>
      <c r="S58" s="1125"/>
      <c r="T58" s="1125"/>
      <c r="U58" s="1125"/>
      <c r="V58" s="96"/>
      <c r="W58" s="96"/>
      <c r="X58" s="96"/>
      <c r="Y58" s="536"/>
      <c r="Z58" s="96"/>
      <c r="AA58" s="96"/>
    </row>
    <row r="59" spans="1:27" s="80" customFormat="1" ht="21" customHeight="1" x14ac:dyDescent="0.2">
      <c r="A59" s="1131"/>
      <c r="B59" s="1125"/>
      <c r="C59" s="1125"/>
      <c r="D59" s="1125"/>
      <c r="E59" s="1125"/>
      <c r="F59" s="1125"/>
      <c r="G59" s="1125"/>
      <c r="H59" s="1125"/>
      <c r="I59" s="1125"/>
      <c r="J59" s="1125"/>
      <c r="K59" s="1125"/>
      <c r="L59" s="1125"/>
      <c r="M59" s="1125"/>
      <c r="N59" s="1125"/>
      <c r="O59" s="1125"/>
      <c r="P59" s="1130"/>
      <c r="Q59" s="1125"/>
      <c r="R59" s="1125"/>
      <c r="S59" s="1125"/>
      <c r="T59" s="1125"/>
      <c r="U59" s="1125"/>
      <c r="V59" s="96"/>
      <c r="W59" s="96"/>
      <c r="X59" s="96"/>
      <c r="Y59" s="536"/>
      <c r="Z59" s="96"/>
      <c r="AA59" s="96"/>
    </row>
    <row r="60" spans="1:27" s="80" customFormat="1" ht="21" customHeight="1" x14ac:dyDescent="0.2">
      <c r="A60" s="1131"/>
      <c r="B60" s="1125"/>
      <c r="C60" s="1125"/>
      <c r="D60" s="1125"/>
      <c r="E60" s="1125"/>
      <c r="F60" s="1125"/>
      <c r="G60" s="1125"/>
      <c r="H60" s="1125"/>
      <c r="I60" s="1125"/>
      <c r="J60" s="1125"/>
      <c r="K60" s="1125"/>
      <c r="L60" s="1125"/>
      <c r="M60" s="1125"/>
      <c r="N60" s="1125"/>
      <c r="O60" s="1125"/>
      <c r="P60" s="1130"/>
      <c r="Q60" s="1125"/>
      <c r="R60" s="1125"/>
      <c r="S60" s="1125"/>
      <c r="T60" s="1125"/>
      <c r="U60" s="1125"/>
      <c r="V60" s="96"/>
      <c r="W60" s="96"/>
      <c r="X60" s="96"/>
      <c r="Y60" s="536"/>
      <c r="Z60" s="96"/>
      <c r="AA60" s="96"/>
    </row>
    <row r="61" spans="1:27" s="80" customFormat="1" ht="21" customHeight="1" x14ac:dyDescent="0.2">
      <c r="A61" s="1131"/>
      <c r="B61" s="1125"/>
      <c r="C61" s="1125"/>
      <c r="D61" s="1125"/>
      <c r="E61" s="1125"/>
      <c r="F61" s="1125"/>
      <c r="G61" s="1125"/>
      <c r="H61" s="1125"/>
      <c r="I61" s="1125"/>
      <c r="J61" s="1125"/>
      <c r="K61" s="1125"/>
      <c r="L61" s="1125"/>
      <c r="M61" s="1125"/>
      <c r="N61" s="1125"/>
      <c r="O61" s="1125"/>
      <c r="P61" s="1130"/>
      <c r="Q61" s="1125"/>
      <c r="R61" s="1125"/>
      <c r="S61" s="1125"/>
      <c r="T61" s="1125"/>
      <c r="U61" s="1125"/>
      <c r="V61" s="96"/>
      <c r="W61" s="96"/>
      <c r="X61" s="96"/>
      <c r="Y61" s="536"/>
      <c r="Z61" s="96"/>
      <c r="AA61" s="96"/>
    </row>
    <row r="62" spans="1:27" s="80" customFormat="1" ht="21" customHeight="1" x14ac:dyDescent="0.2">
      <c r="A62" s="1131"/>
      <c r="B62" s="1125"/>
      <c r="C62" s="1125"/>
      <c r="D62" s="1125"/>
      <c r="E62" s="1125"/>
      <c r="F62" s="1125"/>
      <c r="G62" s="1125"/>
      <c r="H62" s="1125"/>
      <c r="I62" s="1125"/>
      <c r="J62" s="1125"/>
      <c r="K62" s="1125"/>
      <c r="L62" s="1125"/>
      <c r="M62" s="1125"/>
      <c r="N62" s="1125"/>
      <c r="O62" s="1125"/>
      <c r="P62" s="1130"/>
      <c r="Q62" s="1125"/>
      <c r="R62" s="1125"/>
      <c r="S62" s="1125"/>
      <c r="T62" s="1125"/>
      <c r="U62" s="1125"/>
      <c r="V62" s="96"/>
      <c r="W62" s="96"/>
      <c r="X62" s="96"/>
      <c r="Y62" s="536"/>
      <c r="Z62" s="96"/>
      <c r="AA62" s="96"/>
    </row>
    <row r="63" spans="1:27" s="80" customFormat="1" ht="60" customHeight="1" thickBot="1" x14ac:dyDescent="0.25">
      <c r="A63" s="1139"/>
      <c r="B63" s="1140"/>
      <c r="C63" s="1140"/>
      <c r="D63" s="1140"/>
      <c r="E63" s="1140"/>
      <c r="F63" s="1140"/>
      <c r="G63" s="1140"/>
      <c r="H63" s="1140"/>
      <c r="I63" s="1140"/>
      <c r="J63" s="1140"/>
      <c r="K63" s="1140"/>
      <c r="L63" s="1140"/>
      <c r="M63" s="1140"/>
      <c r="N63" s="1140"/>
      <c r="O63" s="1140"/>
      <c r="P63" s="1141"/>
      <c r="Q63" s="1125"/>
      <c r="R63" s="1125"/>
      <c r="S63" s="1125"/>
      <c r="T63" s="1125"/>
      <c r="U63" s="1125"/>
      <c r="V63" s="96"/>
      <c r="W63" s="96"/>
      <c r="X63" s="96"/>
      <c r="Y63" s="536"/>
      <c r="Z63" s="96"/>
      <c r="AA63" s="96"/>
    </row>
    <row r="64" spans="1:27" s="80" customFormat="1" ht="21" customHeight="1" thickBot="1" x14ac:dyDescent="0.25">
      <c r="A64" s="1147"/>
      <c r="B64" s="1125"/>
      <c r="C64" s="1125"/>
      <c r="D64" s="1125"/>
      <c r="E64" s="1125"/>
      <c r="F64" s="1125"/>
      <c r="G64" s="1125"/>
      <c r="H64" s="1125"/>
      <c r="I64" s="1125"/>
      <c r="J64" s="1125"/>
      <c r="K64" s="1125"/>
      <c r="L64" s="1125"/>
      <c r="M64" s="1125"/>
      <c r="N64" s="1125"/>
      <c r="O64" s="1125"/>
      <c r="P64" s="1125"/>
      <c r="Q64" s="1125"/>
      <c r="R64" s="1125"/>
      <c r="S64" s="1125"/>
      <c r="T64" s="1125"/>
      <c r="U64" s="1125"/>
      <c r="V64" s="96"/>
      <c r="W64" s="96"/>
      <c r="X64" s="96"/>
      <c r="Y64" s="536"/>
      <c r="Z64" s="96"/>
      <c r="AA64" s="96"/>
    </row>
    <row r="65" spans="1:27" s="80" customFormat="1" ht="21" customHeight="1" thickBot="1" x14ac:dyDescent="0.25">
      <c r="A65" s="1148" t="s">
        <v>2012</v>
      </c>
      <c r="B65" s="1149"/>
      <c r="C65" s="1149"/>
      <c r="D65" s="1149"/>
      <c r="E65" s="1149"/>
      <c r="F65" s="1149"/>
      <c r="G65" s="1150"/>
      <c r="H65" s="134"/>
      <c r="I65" s="134"/>
      <c r="J65" s="134"/>
      <c r="K65" s="134"/>
      <c r="L65" s="134"/>
      <c r="M65" s="134"/>
      <c r="N65" s="135"/>
      <c r="O65" s="134"/>
      <c r="P65" s="134"/>
      <c r="Q65" s="136"/>
      <c r="R65" s="136"/>
      <c r="S65" s="136"/>
      <c r="T65" s="136"/>
      <c r="U65" s="136"/>
      <c r="V65" s="136"/>
      <c r="W65" s="136"/>
      <c r="X65" s="136"/>
      <c r="Y65" s="137"/>
      <c r="Z65" s="136"/>
      <c r="AA65" s="136"/>
    </row>
    <row r="66" spans="1:27" s="80" customFormat="1" ht="12" customHeight="1" x14ac:dyDescent="0.2">
      <c r="A66" s="1128"/>
      <c r="B66" s="1129"/>
      <c r="C66" s="1129"/>
      <c r="D66" s="1129"/>
      <c r="E66" s="1129"/>
      <c r="F66" s="1129"/>
      <c r="G66" s="1130"/>
      <c r="H66" s="134"/>
      <c r="I66" s="134"/>
      <c r="J66" s="134"/>
      <c r="K66" s="134"/>
      <c r="L66" s="134"/>
      <c r="M66" s="134"/>
      <c r="N66" s="135"/>
      <c r="O66" s="134"/>
      <c r="P66" s="134"/>
      <c r="Q66" s="136"/>
      <c r="R66" s="136"/>
      <c r="S66" s="136"/>
      <c r="T66" s="136"/>
      <c r="U66" s="136"/>
      <c r="V66" s="136"/>
      <c r="W66" s="136"/>
      <c r="X66" s="136"/>
      <c r="Y66" s="137"/>
      <c r="Z66" s="136"/>
      <c r="AA66" s="136"/>
    </row>
    <row r="67" spans="1:27" s="80" customFormat="1" ht="15" customHeight="1" x14ac:dyDescent="0.2">
      <c r="A67" s="1131"/>
      <c r="B67" s="1125"/>
      <c r="C67" s="1125"/>
      <c r="D67" s="1125"/>
      <c r="E67" s="1125"/>
      <c r="F67" s="1125"/>
      <c r="G67" s="1130"/>
      <c r="H67" s="138"/>
      <c r="I67" s="138"/>
      <c r="J67" s="136"/>
      <c r="K67" s="136"/>
      <c r="L67" s="136"/>
      <c r="M67" s="136"/>
      <c r="N67" s="139"/>
      <c r="O67" s="136"/>
      <c r="P67" s="136"/>
      <c r="Q67" s="136"/>
      <c r="R67" s="136"/>
      <c r="S67" s="136"/>
      <c r="T67" s="136"/>
      <c r="U67" s="136"/>
      <c r="V67" s="136"/>
      <c r="W67" s="136"/>
      <c r="X67" s="136"/>
      <c r="Y67" s="137"/>
      <c r="Z67" s="136"/>
      <c r="AA67" s="136"/>
    </row>
    <row r="68" spans="1:27" s="80" customFormat="1" ht="12" customHeight="1" x14ac:dyDescent="0.2">
      <c r="A68" s="1131"/>
      <c r="B68" s="1125"/>
      <c r="C68" s="1125"/>
      <c r="D68" s="1125"/>
      <c r="E68" s="1125"/>
      <c r="F68" s="1125"/>
      <c r="G68" s="1130"/>
      <c r="H68" s="136"/>
      <c r="I68" s="136"/>
      <c r="J68" s="136"/>
      <c r="K68" s="136"/>
      <c r="L68" s="136"/>
      <c r="M68" s="136"/>
      <c r="N68" s="139"/>
      <c r="O68" s="136"/>
      <c r="P68" s="136"/>
      <c r="Q68" s="136"/>
      <c r="R68" s="136"/>
      <c r="S68" s="136"/>
      <c r="T68" s="136"/>
      <c r="U68" s="136"/>
      <c r="V68" s="136"/>
      <c r="W68" s="136"/>
      <c r="X68" s="136"/>
      <c r="Y68" s="137"/>
      <c r="Z68" s="136"/>
      <c r="AA68" s="136"/>
    </row>
    <row r="69" spans="1:27" s="80" customFormat="1" ht="15" customHeight="1" x14ac:dyDescent="0.2">
      <c r="A69" s="1131"/>
      <c r="B69" s="1125"/>
      <c r="C69" s="1125"/>
      <c r="D69" s="1125"/>
      <c r="E69" s="1125"/>
      <c r="F69" s="1125"/>
      <c r="G69" s="1130"/>
      <c r="H69" s="136"/>
      <c r="I69" s="136"/>
      <c r="J69" s="136"/>
      <c r="K69" s="136"/>
      <c r="L69" s="136"/>
      <c r="M69" s="136"/>
      <c r="N69" s="139"/>
      <c r="O69" s="136"/>
      <c r="P69" s="136"/>
      <c r="Q69" s="136"/>
      <c r="R69" s="136"/>
      <c r="S69" s="136"/>
      <c r="T69" s="136"/>
      <c r="U69" s="136"/>
      <c r="V69" s="136"/>
      <c r="W69" s="136"/>
      <c r="X69" s="136"/>
      <c r="Y69" s="137"/>
      <c r="Z69" s="136"/>
      <c r="AA69" s="136"/>
    </row>
    <row r="70" spans="1:27" s="80" customFormat="1" ht="12" customHeight="1" x14ac:dyDescent="0.2">
      <c r="A70" s="1131"/>
      <c r="B70" s="1125"/>
      <c r="C70" s="1125"/>
      <c r="D70" s="1125"/>
      <c r="E70" s="1125"/>
      <c r="F70" s="1125"/>
      <c r="G70" s="1130"/>
      <c r="H70" s="136"/>
      <c r="I70" s="136"/>
      <c r="J70" s="136"/>
      <c r="K70" s="136"/>
      <c r="L70" s="136"/>
      <c r="M70" s="136"/>
      <c r="N70" s="139"/>
      <c r="O70" s="136"/>
      <c r="P70" s="136"/>
      <c r="Q70" s="136"/>
      <c r="R70" s="136"/>
      <c r="S70" s="136"/>
      <c r="T70" s="136"/>
      <c r="U70" s="136"/>
      <c r="V70" s="136"/>
      <c r="W70" s="136"/>
      <c r="X70" s="136"/>
      <c r="Y70" s="137"/>
      <c r="Z70" s="136"/>
      <c r="AA70" s="136"/>
    </row>
    <row r="71" spans="1:27" s="80" customFormat="1" ht="21.75" customHeight="1" x14ac:dyDescent="0.2">
      <c r="A71" s="1131"/>
      <c r="B71" s="1125"/>
      <c r="C71" s="1125"/>
      <c r="D71" s="1125"/>
      <c r="E71" s="1125"/>
      <c r="F71" s="1125"/>
      <c r="G71" s="1130"/>
      <c r="H71" s="136"/>
      <c r="I71" s="136"/>
      <c r="J71" s="136"/>
      <c r="K71" s="1134" t="s">
        <v>2013</v>
      </c>
      <c r="L71" s="1129"/>
      <c r="M71" s="1135"/>
      <c r="N71" s="1112"/>
      <c r="O71" s="1112"/>
      <c r="P71" s="1112"/>
      <c r="Q71" s="136"/>
      <c r="R71" s="136"/>
      <c r="S71" s="136"/>
      <c r="T71" s="136"/>
      <c r="U71" s="136"/>
      <c r="V71" s="136"/>
      <c r="W71" s="136"/>
      <c r="X71" s="136"/>
      <c r="Y71" s="137"/>
      <c r="Z71" s="136"/>
      <c r="AA71" s="136"/>
    </row>
    <row r="72" spans="1:27" s="80" customFormat="1" ht="12" customHeight="1" x14ac:dyDescent="0.2">
      <c r="A72" s="1131"/>
      <c r="B72" s="1125"/>
      <c r="C72" s="1125"/>
      <c r="D72" s="1125"/>
      <c r="E72" s="1125"/>
      <c r="F72" s="1125"/>
      <c r="G72" s="1130"/>
      <c r="H72" s="136"/>
      <c r="I72" s="136"/>
      <c r="J72" s="136"/>
      <c r="K72" s="136"/>
      <c r="L72" s="136"/>
      <c r="M72" s="136"/>
      <c r="N72" s="139"/>
      <c r="O72" s="136"/>
      <c r="P72" s="136"/>
      <c r="Q72" s="136"/>
      <c r="R72" s="136"/>
      <c r="S72" s="136"/>
      <c r="T72" s="136"/>
      <c r="U72" s="136"/>
      <c r="V72" s="136"/>
      <c r="W72" s="136"/>
      <c r="X72" s="136"/>
      <c r="Y72" s="137"/>
      <c r="Z72" s="136"/>
      <c r="AA72" s="136"/>
    </row>
    <row r="73" spans="1:27" s="80" customFormat="1" ht="15" customHeight="1" x14ac:dyDescent="0.2">
      <c r="A73" s="1131"/>
      <c r="B73" s="1125"/>
      <c r="C73" s="1125"/>
      <c r="D73" s="1125"/>
      <c r="E73" s="1125"/>
      <c r="F73" s="1125"/>
      <c r="G73" s="1130"/>
      <c r="H73" s="136"/>
      <c r="I73" s="136"/>
      <c r="J73" s="136"/>
      <c r="K73" s="136"/>
      <c r="L73" s="136"/>
      <c r="M73" s="136"/>
      <c r="N73" s="139"/>
      <c r="O73" s="136"/>
      <c r="P73" s="136"/>
      <c r="Q73" s="136"/>
      <c r="R73" s="136"/>
      <c r="S73" s="136"/>
      <c r="T73" s="136"/>
      <c r="U73" s="136"/>
      <c r="V73" s="136"/>
      <c r="W73" s="136"/>
      <c r="X73" s="136"/>
      <c r="Y73" s="137"/>
      <c r="Z73" s="136"/>
      <c r="AA73" s="136"/>
    </row>
    <row r="74" spans="1:27" s="80" customFormat="1" ht="12" customHeight="1" x14ac:dyDescent="0.2">
      <c r="A74" s="1131"/>
      <c r="B74" s="1125"/>
      <c r="C74" s="1125"/>
      <c r="D74" s="1125"/>
      <c r="E74" s="1125"/>
      <c r="F74" s="1125"/>
      <c r="G74" s="1130"/>
      <c r="H74" s="136"/>
      <c r="I74" s="136"/>
      <c r="J74" s="136"/>
      <c r="K74" s="136"/>
      <c r="L74" s="136"/>
      <c r="M74" s="136"/>
      <c r="N74" s="139"/>
      <c r="O74" s="136"/>
      <c r="P74" s="136"/>
      <c r="Q74" s="136"/>
      <c r="R74" s="136"/>
      <c r="S74" s="136"/>
      <c r="T74" s="136"/>
      <c r="U74" s="136"/>
      <c r="V74" s="136"/>
      <c r="W74" s="136"/>
      <c r="X74" s="136"/>
      <c r="Y74" s="137"/>
      <c r="Z74" s="136"/>
      <c r="AA74" s="136"/>
    </row>
    <row r="75" spans="1:27" s="80" customFormat="1" ht="15" customHeight="1" x14ac:dyDescent="0.2">
      <c r="A75" s="1131"/>
      <c r="B75" s="1125"/>
      <c r="C75" s="1125"/>
      <c r="D75" s="1125"/>
      <c r="E75" s="1125"/>
      <c r="F75" s="1125"/>
      <c r="G75" s="1130"/>
      <c r="H75" s="136"/>
      <c r="I75" s="136"/>
      <c r="J75" s="136"/>
      <c r="K75" s="136"/>
      <c r="L75" s="136"/>
      <c r="M75" s="136"/>
      <c r="N75" s="139"/>
      <c r="O75" s="136"/>
      <c r="P75" s="136"/>
      <c r="Q75" s="136"/>
      <c r="R75" s="136"/>
      <c r="S75" s="136"/>
      <c r="T75" s="136"/>
      <c r="U75" s="136"/>
      <c r="V75" s="136"/>
      <c r="W75" s="136"/>
      <c r="X75" s="136"/>
      <c r="Y75" s="137"/>
      <c r="Z75" s="136"/>
      <c r="AA75" s="136"/>
    </row>
    <row r="76" spans="1:27" s="80" customFormat="1" ht="12" customHeight="1" x14ac:dyDescent="0.2">
      <c r="A76" s="1131"/>
      <c r="B76" s="1125"/>
      <c r="C76" s="1125"/>
      <c r="D76" s="1125"/>
      <c r="E76" s="1125"/>
      <c r="F76" s="1125"/>
      <c r="G76" s="1130"/>
      <c r="H76" s="136"/>
      <c r="I76" s="136"/>
      <c r="J76" s="136"/>
      <c r="K76" s="136"/>
      <c r="L76" s="136"/>
      <c r="M76" s="136"/>
      <c r="N76" s="139"/>
      <c r="O76" s="136"/>
      <c r="P76" s="136"/>
      <c r="Q76" s="136"/>
      <c r="R76" s="136"/>
      <c r="S76" s="136"/>
      <c r="T76" s="136"/>
      <c r="U76" s="136"/>
      <c r="V76" s="136"/>
      <c r="W76" s="136"/>
      <c r="X76" s="136"/>
      <c r="Y76" s="137"/>
      <c r="Z76" s="136"/>
      <c r="AA76" s="136"/>
    </row>
    <row r="77" spans="1:27" s="80" customFormat="1" ht="15" customHeight="1" x14ac:dyDescent="0.2">
      <c r="A77" s="1131"/>
      <c r="B77" s="1125"/>
      <c r="C77" s="1125"/>
      <c r="D77" s="1125"/>
      <c r="E77" s="1125"/>
      <c r="F77" s="1125"/>
      <c r="G77" s="1130"/>
      <c r="H77" s="136"/>
      <c r="I77" s="136"/>
      <c r="J77" s="136"/>
      <c r="K77" s="136"/>
      <c r="L77" s="136"/>
      <c r="M77" s="136"/>
      <c r="N77" s="139"/>
      <c r="O77" s="136"/>
      <c r="P77" s="136"/>
      <c r="Q77" s="136"/>
      <c r="R77" s="136"/>
      <c r="S77" s="136"/>
      <c r="T77" s="136"/>
      <c r="U77" s="136"/>
      <c r="V77" s="136"/>
      <c r="W77" s="136"/>
      <c r="X77" s="136"/>
      <c r="Y77" s="137"/>
      <c r="Z77" s="136"/>
      <c r="AA77" s="136"/>
    </row>
    <row r="78" spans="1:27" s="80" customFormat="1" ht="12" customHeight="1" x14ac:dyDescent="0.2">
      <c r="A78" s="1131"/>
      <c r="B78" s="1125"/>
      <c r="C78" s="1125"/>
      <c r="D78" s="1125"/>
      <c r="E78" s="1125"/>
      <c r="F78" s="1125"/>
      <c r="G78" s="1130"/>
      <c r="H78" s="136"/>
      <c r="I78" s="136"/>
      <c r="J78" s="136"/>
      <c r="K78" s="136"/>
      <c r="L78" s="136"/>
      <c r="M78" s="136"/>
      <c r="N78" s="139"/>
      <c r="O78" s="136"/>
      <c r="P78" s="136"/>
      <c r="Q78" s="136"/>
      <c r="R78" s="136"/>
      <c r="S78" s="136"/>
      <c r="T78" s="136"/>
      <c r="U78" s="136"/>
      <c r="V78" s="136"/>
      <c r="W78" s="136"/>
      <c r="X78" s="136"/>
      <c r="Y78" s="137"/>
      <c r="Z78" s="136"/>
      <c r="AA78" s="136"/>
    </row>
    <row r="79" spans="1:27" s="80" customFormat="1" ht="15" customHeight="1" x14ac:dyDescent="0.2">
      <c r="A79" s="1131"/>
      <c r="B79" s="1125"/>
      <c r="C79" s="1125"/>
      <c r="D79" s="1125"/>
      <c r="E79" s="1125"/>
      <c r="F79" s="1125"/>
      <c r="G79" s="1130"/>
      <c r="H79" s="136"/>
      <c r="I79" s="136"/>
      <c r="J79" s="136"/>
      <c r="K79" s="136"/>
      <c r="L79" s="136"/>
      <c r="M79" s="136"/>
      <c r="N79" s="139"/>
      <c r="O79" s="136"/>
      <c r="P79" s="136"/>
      <c r="Q79" s="136"/>
      <c r="R79" s="136"/>
      <c r="S79" s="136"/>
      <c r="T79" s="136"/>
      <c r="U79" s="136"/>
      <c r="V79" s="136"/>
      <c r="W79" s="136"/>
      <c r="X79" s="136"/>
      <c r="Y79" s="137"/>
      <c r="Z79" s="136"/>
      <c r="AA79" s="136"/>
    </row>
    <row r="80" spans="1:27" s="80" customFormat="1" ht="12" customHeight="1" x14ac:dyDescent="0.2">
      <c r="A80" s="1131"/>
      <c r="B80" s="1125"/>
      <c r="C80" s="1125"/>
      <c r="D80" s="1125"/>
      <c r="E80" s="1125"/>
      <c r="F80" s="1125"/>
      <c r="G80" s="1130"/>
      <c r="H80" s="136"/>
      <c r="I80" s="136"/>
      <c r="J80" s="136"/>
      <c r="K80" s="136"/>
      <c r="L80" s="136"/>
      <c r="M80" s="136"/>
      <c r="N80" s="139"/>
      <c r="O80" s="136"/>
      <c r="P80" s="136"/>
      <c r="Q80" s="136"/>
      <c r="R80" s="136"/>
      <c r="S80" s="136"/>
      <c r="T80" s="136"/>
      <c r="U80" s="136"/>
      <c r="V80" s="136"/>
      <c r="W80" s="136"/>
      <c r="X80" s="136"/>
      <c r="Y80" s="137"/>
      <c r="Z80" s="136"/>
      <c r="AA80" s="136"/>
    </row>
    <row r="81" spans="1:27" s="80" customFormat="1" ht="15" customHeight="1" x14ac:dyDescent="0.2">
      <c r="A81" s="1131"/>
      <c r="B81" s="1125"/>
      <c r="C81" s="1125"/>
      <c r="D81" s="1125"/>
      <c r="E81" s="1125"/>
      <c r="F81" s="1125"/>
      <c r="G81" s="1130"/>
      <c r="H81" s="136"/>
      <c r="I81" s="136"/>
      <c r="J81" s="136"/>
      <c r="K81" s="136"/>
      <c r="L81" s="136"/>
      <c r="M81" s="136"/>
      <c r="N81" s="139"/>
      <c r="O81" s="136"/>
      <c r="P81" s="136"/>
      <c r="Q81" s="136"/>
      <c r="R81" s="136"/>
      <c r="S81" s="136"/>
      <c r="T81" s="136"/>
      <c r="U81" s="136"/>
      <c r="V81" s="136"/>
      <c r="W81" s="136"/>
      <c r="X81" s="136"/>
      <c r="Y81" s="137"/>
      <c r="Z81" s="136"/>
      <c r="AA81" s="136"/>
    </row>
    <row r="82" spans="1:27" s="80" customFormat="1" ht="12" customHeight="1" x14ac:dyDescent="0.2">
      <c r="A82" s="1132"/>
      <c r="B82" s="1112"/>
      <c r="C82" s="1112"/>
      <c r="D82" s="1112"/>
      <c r="E82" s="1112"/>
      <c r="F82" s="1112"/>
      <c r="G82" s="1133"/>
      <c r="H82" s="136"/>
      <c r="I82" s="136"/>
      <c r="J82" s="136"/>
      <c r="K82" s="136"/>
      <c r="L82" s="136"/>
      <c r="M82" s="136"/>
      <c r="N82" s="139"/>
      <c r="O82" s="136"/>
      <c r="P82" s="136"/>
      <c r="Q82" s="136"/>
      <c r="R82" s="136"/>
      <c r="S82" s="136"/>
      <c r="T82" s="136"/>
      <c r="U82" s="136"/>
      <c r="V82" s="136"/>
      <c r="W82" s="136"/>
      <c r="X82" s="136"/>
      <c r="Y82" s="137"/>
      <c r="Z82" s="136"/>
      <c r="AA82" s="136"/>
    </row>
    <row r="83" spans="1:27" s="80" customFormat="1" ht="15" customHeight="1" x14ac:dyDescent="0.2">
      <c r="A83" s="1136"/>
      <c r="B83" s="1137"/>
      <c r="C83" s="1137"/>
      <c r="D83" s="1137"/>
      <c r="E83" s="1137"/>
      <c r="F83" s="1137"/>
      <c r="G83" s="1138"/>
      <c r="H83" s="136"/>
      <c r="I83" s="136"/>
      <c r="J83" s="136"/>
      <c r="K83" s="136"/>
      <c r="L83" s="136"/>
      <c r="M83" s="136"/>
      <c r="N83" s="139"/>
      <c r="O83" s="136"/>
      <c r="P83" s="136"/>
      <c r="Q83" s="136"/>
      <c r="R83" s="136"/>
      <c r="S83" s="136"/>
      <c r="T83" s="136"/>
      <c r="U83" s="136"/>
      <c r="V83" s="136"/>
      <c r="W83" s="136"/>
      <c r="X83" s="136"/>
      <c r="Y83" s="137"/>
      <c r="Z83" s="136"/>
      <c r="AA83" s="136"/>
    </row>
    <row r="84" spans="1:27" s="80" customFormat="1" ht="15" customHeight="1" x14ac:dyDescent="0.2">
      <c r="A84" s="1131"/>
      <c r="B84" s="1125"/>
      <c r="C84" s="1125"/>
      <c r="D84" s="1125"/>
      <c r="E84" s="1125"/>
      <c r="F84" s="1125"/>
      <c r="G84" s="1130"/>
      <c r="H84" s="136"/>
      <c r="I84" s="136"/>
      <c r="J84" s="136"/>
      <c r="K84" s="136"/>
      <c r="L84" s="136"/>
      <c r="M84" s="136"/>
      <c r="N84" s="139"/>
      <c r="O84" s="136"/>
      <c r="P84" s="136"/>
      <c r="Q84" s="136"/>
      <c r="R84" s="136"/>
      <c r="S84" s="136"/>
      <c r="T84" s="136"/>
      <c r="U84" s="136"/>
      <c r="V84" s="136"/>
      <c r="W84" s="136"/>
      <c r="X84" s="136"/>
      <c r="Y84" s="137"/>
      <c r="Z84" s="136"/>
      <c r="AA84" s="136"/>
    </row>
    <row r="85" spans="1:27" s="80" customFormat="1" ht="83.25" customHeight="1" thickBot="1" x14ac:dyDescent="0.25">
      <c r="A85" s="1139"/>
      <c r="B85" s="1140"/>
      <c r="C85" s="1140"/>
      <c r="D85" s="1140"/>
      <c r="E85" s="1140"/>
      <c r="F85" s="1140"/>
      <c r="G85" s="1141"/>
      <c r="H85" s="136"/>
      <c r="I85" s="136"/>
      <c r="J85" s="136"/>
      <c r="K85" s="136"/>
      <c r="L85" s="136"/>
      <c r="M85" s="136"/>
      <c r="N85" s="139"/>
      <c r="O85" s="136"/>
      <c r="P85" s="136"/>
      <c r="Q85" s="136"/>
      <c r="R85" s="136"/>
      <c r="S85" s="136"/>
      <c r="T85" s="136"/>
      <c r="U85" s="136"/>
      <c r="V85" s="136"/>
      <c r="W85" s="136"/>
      <c r="X85" s="136"/>
      <c r="Y85" s="137"/>
      <c r="Z85" s="136"/>
      <c r="AA85" s="136"/>
    </row>
    <row r="86" spans="1:27" s="80" customFormat="1" ht="15" customHeight="1" x14ac:dyDescent="0.2">
      <c r="A86" s="136"/>
      <c r="B86" s="136"/>
      <c r="C86" s="136"/>
      <c r="D86" s="136"/>
      <c r="E86" s="136"/>
      <c r="F86" s="136"/>
      <c r="G86" s="136"/>
      <c r="H86" s="136"/>
      <c r="I86" s="136"/>
      <c r="J86" s="136"/>
      <c r="K86" s="136"/>
      <c r="L86" s="136"/>
      <c r="M86" s="136"/>
      <c r="N86" s="139"/>
      <c r="O86" s="136"/>
      <c r="P86" s="136"/>
      <c r="Q86" s="136"/>
      <c r="R86" s="136"/>
      <c r="S86" s="136"/>
      <c r="T86" s="136"/>
      <c r="U86" s="136"/>
      <c r="V86" s="136"/>
      <c r="W86" s="136"/>
      <c r="X86" s="136"/>
      <c r="Y86" s="137"/>
      <c r="Z86" s="136"/>
      <c r="AA86" s="136"/>
    </row>
  </sheetData>
  <mergeCells count="189">
    <mergeCell ref="A66:G82"/>
    <mergeCell ref="K71:L71"/>
    <mergeCell ref="M71:P71"/>
    <mergeCell ref="A83:G85"/>
    <mergeCell ref="A55:U55"/>
    <mergeCell ref="A56:P57"/>
    <mergeCell ref="Q56:U63"/>
    <mergeCell ref="A58:P63"/>
    <mergeCell ref="A64:U64"/>
    <mergeCell ref="A65:G65"/>
    <mergeCell ref="A48:B49"/>
    <mergeCell ref="D48:G48"/>
    <mergeCell ref="D49:G49"/>
    <mergeCell ref="A50:B50"/>
    <mergeCell ref="F50:F53"/>
    <mergeCell ref="Q50:R50"/>
    <mergeCell ref="A51:B51"/>
    <mergeCell ref="A52:B52"/>
    <mergeCell ref="A53:B53"/>
    <mergeCell ref="A43:G43"/>
    <mergeCell ref="A44:G44"/>
    <mergeCell ref="H45:J45"/>
    <mergeCell ref="K45:M45"/>
    <mergeCell ref="N45:P45"/>
    <mergeCell ref="Q45:S45"/>
    <mergeCell ref="T40:T41"/>
    <mergeCell ref="U40:U41"/>
    <mergeCell ref="V40:V41"/>
    <mergeCell ref="W40:W41"/>
    <mergeCell ref="X40:X41"/>
    <mergeCell ref="A42:G42"/>
    <mergeCell ref="A40:A41"/>
    <mergeCell ref="B40:B41"/>
    <mergeCell ref="C40:C41"/>
    <mergeCell ref="D40:D41"/>
    <mergeCell ref="E40:E41"/>
    <mergeCell ref="F40:F41"/>
    <mergeCell ref="A38:A39"/>
    <mergeCell ref="B38:B39"/>
    <mergeCell ref="C38:C39"/>
    <mergeCell ref="D38:D39"/>
    <mergeCell ref="E38:E39"/>
    <mergeCell ref="F38:F39"/>
    <mergeCell ref="F34:F35"/>
    <mergeCell ref="A36:A37"/>
    <mergeCell ref="B36:B37"/>
    <mergeCell ref="C36:C37"/>
    <mergeCell ref="D36:D37"/>
    <mergeCell ref="E36:E37"/>
    <mergeCell ref="F36:F37"/>
    <mergeCell ref="T32:T33"/>
    <mergeCell ref="U32:U33"/>
    <mergeCell ref="V32:V33"/>
    <mergeCell ref="W32:W33"/>
    <mergeCell ref="X32:X33"/>
    <mergeCell ref="A34:A35"/>
    <mergeCell ref="B34:B35"/>
    <mergeCell ref="C34:C35"/>
    <mergeCell ref="D34:D35"/>
    <mergeCell ref="E34:E35"/>
    <mergeCell ref="A32:A33"/>
    <mergeCell ref="B32:B33"/>
    <mergeCell ref="C32:C33"/>
    <mergeCell ref="D32:D33"/>
    <mergeCell ref="E32:E33"/>
    <mergeCell ref="F32:F33"/>
    <mergeCell ref="F30:F31"/>
    <mergeCell ref="T30:T31"/>
    <mergeCell ref="U30:U31"/>
    <mergeCell ref="V30:V31"/>
    <mergeCell ref="W30:W31"/>
    <mergeCell ref="X30:X31"/>
    <mergeCell ref="T28:T29"/>
    <mergeCell ref="U28:U29"/>
    <mergeCell ref="V28:V29"/>
    <mergeCell ref="W28:W29"/>
    <mergeCell ref="X28:X29"/>
    <mergeCell ref="F28:F29"/>
    <mergeCell ref="A30:A31"/>
    <mergeCell ref="B30:B31"/>
    <mergeCell ref="C30:C31"/>
    <mergeCell ref="D30:D31"/>
    <mergeCell ref="E30:E31"/>
    <mergeCell ref="A28:A29"/>
    <mergeCell ref="B28:B29"/>
    <mergeCell ref="C28:C29"/>
    <mergeCell ref="D28:D29"/>
    <mergeCell ref="E28:E29"/>
    <mergeCell ref="F26:F27"/>
    <mergeCell ref="T26:T27"/>
    <mergeCell ref="U26:U27"/>
    <mergeCell ref="V26:V27"/>
    <mergeCell ref="W26:W27"/>
    <mergeCell ref="X26:X27"/>
    <mergeCell ref="T24:T25"/>
    <mergeCell ref="U24:U25"/>
    <mergeCell ref="V24:V25"/>
    <mergeCell ref="W24:W25"/>
    <mergeCell ref="X24:X25"/>
    <mergeCell ref="F24:F25"/>
    <mergeCell ref="A26:A27"/>
    <mergeCell ref="B26:B27"/>
    <mergeCell ref="C26:C27"/>
    <mergeCell ref="D26:D27"/>
    <mergeCell ref="E26:E27"/>
    <mergeCell ref="A24:A25"/>
    <mergeCell ref="B24:B25"/>
    <mergeCell ref="C24:C25"/>
    <mergeCell ref="D24:D25"/>
    <mergeCell ref="E24:E25"/>
    <mergeCell ref="T20:T21"/>
    <mergeCell ref="A22:A23"/>
    <mergeCell ref="B22:B23"/>
    <mergeCell ref="C22:C23"/>
    <mergeCell ref="D22:D23"/>
    <mergeCell ref="E22:E23"/>
    <mergeCell ref="F22:F23"/>
    <mergeCell ref="F18:F19"/>
    <mergeCell ref="A20:A21"/>
    <mergeCell ref="B20:B21"/>
    <mergeCell ref="C20:C21"/>
    <mergeCell ref="D20:D21"/>
    <mergeCell ref="E20:E21"/>
    <mergeCell ref="F20:F21"/>
    <mergeCell ref="T16:T17"/>
    <mergeCell ref="U16:U17"/>
    <mergeCell ref="V16:V17"/>
    <mergeCell ref="W16:W17"/>
    <mergeCell ref="X16:X17"/>
    <mergeCell ref="A18:A19"/>
    <mergeCell ref="B18:B19"/>
    <mergeCell ref="C18:C19"/>
    <mergeCell ref="D18:D19"/>
    <mergeCell ref="E18:E19"/>
    <mergeCell ref="A16:A17"/>
    <mergeCell ref="B16:B17"/>
    <mergeCell ref="C16:C17"/>
    <mergeCell ref="D16:D17"/>
    <mergeCell ref="E16:E17"/>
    <mergeCell ref="F16:F17"/>
    <mergeCell ref="A14:A15"/>
    <mergeCell ref="B14:B15"/>
    <mergeCell ref="C14:C15"/>
    <mergeCell ref="D14:D15"/>
    <mergeCell ref="E14:E15"/>
    <mergeCell ref="F14:F15"/>
    <mergeCell ref="F12:F13"/>
    <mergeCell ref="T12:T13"/>
    <mergeCell ref="U12:U13"/>
    <mergeCell ref="V12:V13"/>
    <mergeCell ref="W12:W13"/>
    <mergeCell ref="X12:X13"/>
    <mergeCell ref="T10:T11"/>
    <mergeCell ref="U10:U11"/>
    <mergeCell ref="V10:V11"/>
    <mergeCell ref="W10:W11"/>
    <mergeCell ref="X10:X11"/>
    <mergeCell ref="A12:A13"/>
    <mergeCell ref="B12:B13"/>
    <mergeCell ref="C12:C13"/>
    <mergeCell ref="D12:D13"/>
    <mergeCell ref="E12:E13"/>
    <mergeCell ref="A10:A11"/>
    <mergeCell ref="B10:B11"/>
    <mergeCell ref="C10:C11"/>
    <mergeCell ref="D10:D11"/>
    <mergeCell ref="E10:E11"/>
    <mergeCell ref="F10:F11"/>
    <mergeCell ref="A8:A9"/>
    <mergeCell ref="B8:B9"/>
    <mergeCell ref="C8:C9"/>
    <mergeCell ref="D8:D9"/>
    <mergeCell ref="E8:E9"/>
    <mergeCell ref="F8:F9"/>
    <mergeCell ref="A6:A7"/>
    <mergeCell ref="B6:B7"/>
    <mergeCell ref="C6:C7"/>
    <mergeCell ref="D6:D7"/>
    <mergeCell ref="E6:E7"/>
    <mergeCell ref="F6:F7"/>
    <mergeCell ref="A1:V1"/>
    <mergeCell ref="W1:X1"/>
    <mergeCell ref="A2:V3"/>
    <mergeCell ref="W2:X2"/>
    <mergeCell ref="W3:X3"/>
    <mergeCell ref="A4:G4"/>
    <mergeCell ref="H4:V4"/>
    <mergeCell ref="W4:W5"/>
    <mergeCell ref="X4:X5"/>
  </mergeCells>
  <conditionalFormatting sqref="H6:H7">
    <cfRule type="cellIs" dxfId="36" priority="52" operator="equal">
      <formula>1</formula>
    </cfRule>
    <cfRule type="cellIs" dxfId="35" priority="53" operator="equal">
      <formula>2</formula>
    </cfRule>
    <cfRule type="cellIs" dxfId="34" priority="54" operator="equal">
      <formula>3</formula>
    </cfRule>
  </conditionalFormatting>
  <conditionalFormatting sqref="H8:P8 R8:S8">
    <cfRule type="cellIs" dxfId="33" priority="55" operator="equal">
      <formula>1</formula>
    </cfRule>
    <cfRule type="cellIs" dxfId="32" priority="56" operator="equal">
      <formula>2</formula>
    </cfRule>
    <cfRule type="cellIs" dxfId="31" priority="57" operator="equal">
      <formula>3</formula>
    </cfRule>
  </conditionalFormatting>
  <conditionalFormatting sqref="H9:S41">
    <cfRule type="cellIs" dxfId="30" priority="1" operator="equal">
      <formula>1</formula>
    </cfRule>
    <cfRule type="cellIs" dxfId="29" priority="2" operator="equal">
      <formula>2</formula>
    </cfRule>
    <cfRule type="cellIs" dxfId="28" priority="3" operator="equal">
      <formula>3</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07"/>
  <sheetViews>
    <sheetView topLeftCell="B52" workbookViewId="0">
      <selection activeCell="O48" sqref="O48"/>
    </sheetView>
  </sheetViews>
  <sheetFormatPr baseColWidth="10" defaultColWidth="9.140625" defaultRowHeight="15" x14ac:dyDescent="0.25"/>
  <cols>
    <col min="2" max="2" width="23.42578125" style="340" customWidth="1"/>
    <col min="3" max="3" width="21.7109375" style="206" customWidth="1"/>
    <col min="4" max="4" width="18.85546875" style="206" customWidth="1"/>
    <col min="5" max="6" width="21.7109375" style="206" customWidth="1"/>
    <col min="7" max="7" width="11.7109375" customWidth="1"/>
    <col min="8" max="13" width="0" hidden="1" customWidth="1"/>
    <col min="20" max="20" width="16.85546875" hidden="1" customWidth="1"/>
    <col min="21" max="21" width="15.140625" hidden="1" customWidth="1"/>
    <col min="22" max="22" width="15.42578125" hidden="1" customWidth="1"/>
    <col min="23" max="24" width="13.140625" hidden="1" customWidth="1"/>
  </cols>
  <sheetData>
    <row r="1" spans="1:25" ht="15.75" thickBot="1" x14ac:dyDescent="0.3">
      <c r="A1" s="1173"/>
      <c r="B1" s="1174"/>
      <c r="C1" s="1174"/>
      <c r="D1" s="1175"/>
      <c r="E1" s="1182" t="s">
        <v>2080</v>
      </c>
      <c r="F1" s="1182"/>
      <c r="G1" s="1182"/>
      <c r="H1" s="1182"/>
      <c r="I1" s="1182"/>
      <c r="J1" s="1182"/>
      <c r="K1" s="1182"/>
      <c r="L1" s="1182"/>
      <c r="M1" s="1182"/>
      <c r="N1" s="1182"/>
      <c r="O1" s="1182"/>
      <c r="P1" s="1182"/>
      <c r="Q1" s="1182"/>
      <c r="R1" s="1182"/>
      <c r="S1" s="1182"/>
      <c r="T1" s="1182"/>
      <c r="U1" s="1183"/>
      <c r="V1" s="1184" t="s">
        <v>2081</v>
      </c>
      <c r="W1" s="1185"/>
      <c r="X1" s="140"/>
      <c r="Y1" s="141"/>
    </row>
    <row r="2" spans="1:25" x14ac:dyDescent="0.25">
      <c r="A2" s="1176"/>
      <c r="B2" s="1177"/>
      <c r="C2" s="1177"/>
      <c r="D2" s="1178"/>
      <c r="E2" s="1186" t="s">
        <v>2082</v>
      </c>
      <c r="F2" s="1186"/>
      <c r="G2" s="1186"/>
      <c r="H2" s="1186"/>
      <c r="I2" s="1186"/>
      <c r="J2" s="1186"/>
      <c r="K2" s="1186"/>
      <c r="L2" s="1186"/>
      <c r="M2" s="1186"/>
      <c r="N2" s="1186"/>
      <c r="O2" s="1186"/>
      <c r="P2" s="1186"/>
      <c r="Q2" s="1186"/>
      <c r="R2" s="1186"/>
      <c r="S2" s="1186"/>
      <c r="T2" s="1186"/>
      <c r="U2" s="1187"/>
      <c r="V2" s="1190" t="s">
        <v>2083</v>
      </c>
      <c r="W2" s="1191"/>
      <c r="X2" s="142"/>
      <c r="Y2" s="141"/>
    </row>
    <row r="3" spans="1:25" ht="15.75" thickBot="1" x14ac:dyDescent="0.3">
      <c r="A3" s="1179"/>
      <c r="B3" s="1180"/>
      <c r="C3" s="1180"/>
      <c r="D3" s="1181"/>
      <c r="E3" s="1188"/>
      <c r="F3" s="1188"/>
      <c r="G3" s="1188"/>
      <c r="H3" s="1188"/>
      <c r="I3" s="1188"/>
      <c r="J3" s="1188"/>
      <c r="K3" s="1188"/>
      <c r="L3" s="1188"/>
      <c r="M3" s="1188"/>
      <c r="N3" s="1188"/>
      <c r="O3" s="1188"/>
      <c r="P3" s="1188"/>
      <c r="Q3" s="1188"/>
      <c r="R3" s="1188"/>
      <c r="S3" s="1188"/>
      <c r="T3" s="1188"/>
      <c r="U3" s="1189"/>
      <c r="V3" s="1192" t="s">
        <v>2084</v>
      </c>
      <c r="W3" s="1191"/>
      <c r="X3" s="142"/>
      <c r="Y3" s="141"/>
    </row>
    <row r="4" spans="1:25" ht="15.75" thickBot="1" x14ac:dyDescent="0.3">
      <c r="A4" s="1204"/>
      <c r="B4" s="1205"/>
      <c r="C4" s="1205"/>
      <c r="D4" s="1205"/>
      <c r="E4" s="1205"/>
      <c r="F4" s="1205"/>
      <c r="G4" s="1206"/>
      <c r="H4" s="1207" t="s">
        <v>2027</v>
      </c>
      <c r="I4" s="1208"/>
      <c r="J4" s="1208"/>
      <c r="K4" s="1208"/>
      <c r="L4" s="1208"/>
      <c r="M4" s="1208"/>
      <c r="N4" s="1208"/>
      <c r="O4" s="1208"/>
      <c r="P4" s="1208"/>
      <c r="Q4" s="1208"/>
      <c r="R4" s="1208"/>
      <c r="S4" s="1209"/>
      <c r="T4" s="1210" t="s">
        <v>2085</v>
      </c>
      <c r="U4" s="1212" t="s">
        <v>2086</v>
      </c>
      <c r="V4" s="1214" t="s">
        <v>2087</v>
      </c>
      <c r="W4" s="1216" t="s">
        <v>2028</v>
      </c>
      <c r="X4" s="1200" t="s">
        <v>2029</v>
      </c>
      <c r="Y4" s="141"/>
    </row>
    <row r="5" spans="1:25" ht="15.75" thickBot="1" x14ac:dyDescent="0.3">
      <c r="A5" s="143"/>
      <c r="B5" s="327" t="s">
        <v>2030</v>
      </c>
      <c r="C5" s="144" t="s">
        <v>2088</v>
      </c>
      <c r="D5" s="145" t="s">
        <v>2033</v>
      </c>
      <c r="E5" s="145" t="s">
        <v>2089</v>
      </c>
      <c r="F5" s="145" t="s">
        <v>2090</v>
      </c>
      <c r="G5" s="146" t="s">
        <v>1975</v>
      </c>
      <c r="H5" s="147" t="s">
        <v>1976</v>
      </c>
      <c r="I5" s="147" t="s">
        <v>1977</v>
      </c>
      <c r="J5" s="147" t="s">
        <v>1978</v>
      </c>
      <c r="K5" s="147" t="s">
        <v>1979</v>
      </c>
      <c r="L5" s="147" t="s">
        <v>1980</v>
      </c>
      <c r="M5" s="147" t="s">
        <v>1981</v>
      </c>
      <c r="N5" s="147" t="s">
        <v>1982</v>
      </c>
      <c r="O5" s="147" t="s">
        <v>1983</v>
      </c>
      <c r="P5" s="147" t="s">
        <v>1984</v>
      </c>
      <c r="Q5" s="147" t="s">
        <v>1985</v>
      </c>
      <c r="R5" s="147" t="s">
        <v>1986</v>
      </c>
      <c r="S5" s="147" t="s">
        <v>1987</v>
      </c>
      <c r="T5" s="1211"/>
      <c r="U5" s="1213"/>
      <c r="V5" s="1215"/>
      <c r="W5" s="1217"/>
      <c r="X5" s="1201"/>
      <c r="Y5" s="141"/>
    </row>
    <row r="6" spans="1:25" ht="21.75" customHeight="1" x14ac:dyDescent="0.25">
      <c r="A6" s="1193">
        <v>1</v>
      </c>
      <c r="B6" s="1202" t="s">
        <v>2091</v>
      </c>
      <c r="C6" s="1196"/>
      <c r="D6" s="1198" t="s">
        <v>1993</v>
      </c>
      <c r="E6" s="1196" t="s">
        <v>2092</v>
      </c>
      <c r="F6" s="1196" t="s">
        <v>2093</v>
      </c>
      <c r="G6" s="148" t="s">
        <v>2094</v>
      </c>
      <c r="H6" s="149">
        <v>1</v>
      </c>
      <c r="I6" s="149"/>
      <c r="J6" s="149"/>
      <c r="K6" s="149"/>
      <c r="L6" s="150"/>
      <c r="M6" s="149"/>
      <c r="N6" s="149"/>
      <c r="O6" s="149"/>
      <c r="P6" s="149"/>
      <c r="Q6" s="149"/>
      <c r="R6" s="149"/>
      <c r="S6" s="328"/>
      <c r="T6" s="151"/>
      <c r="U6" s="152"/>
      <c r="V6" s="152"/>
      <c r="W6" s="152"/>
      <c r="X6" s="153"/>
      <c r="Y6" s="150"/>
    </row>
    <row r="7" spans="1:25" ht="25.5" customHeight="1" x14ac:dyDescent="0.25">
      <c r="A7" s="1194"/>
      <c r="B7" s="1203"/>
      <c r="C7" s="1197"/>
      <c r="D7" s="1199"/>
      <c r="E7" s="1197"/>
      <c r="F7" s="1197"/>
      <c r="G7" s="154" t="s">
        <v>2095</v>
      </c>
      <c r="H7" s="155">
        <v>1</v>
      </c>
      <c r="I7" s="149"/>
      <c r="J7" s="149"/>
      <c r="K7" s="149"/>
      <c r="L7" s="542"/>
      <c r="M7" s="149"/>
      <c r="N7" s="149"/>
      <c r="O7" s="149"/>
      <c r="P7" s="149"/>
      <c r="Q7" s="149"/>
      <c r="R7" s="149"/>
      <c r="S7" s="328"/>
      <c r="T7" s="542"/>
      <c r="U7" s="152"/>
      <c r="V7" s="152"/>
      <c r="W7" s="152"/>
      <c r="X7" s="153"/>
      <c r="Y7" s="150"/>
    </row>
    <row r="8" spans="1:25" ht="26.25" customHeight="1" x14ac:dyDescent="0.25">
      <c r="A8" s="1193">
        <v>2</v>
      </c>
      <c r="B8" s="1195" t="s">
        <v>2096</v>
      </c>
      <c r="C8" s="1196"/>
      <c r="D8" s="1198" t="s">
        <v>1993</v>
      </c>
      <c r="E8" s="1196" t="s">
        <v>2092</v>
      </c>
      <c r="F8" s="1196" t="s">
        <v>2093</v>
      </c>
      <c r="G8" s="148" t="s">
        <v>2094</v>
      </c>
      <c r="H8" s="149">
        <v>1</v>
      </c>
      <c r="I8" s="149"/>
      <c r="J8" s="149"/>
      <c r="K8" s="149"/>
      <c r="L8" s="149"/>
      <c r="M8" s="149"/>
      <c r="N8" s="149"/>
      <c r="O8" s="149"/>
      <c r="P8" s="149"/>
      <c r="Q8" s="149"/>
      <c r="R8" s="149"/>
      <c r="S8" s="328"/>
      <c r="T8" s="542"/>
      <c r="U8" s="152"/>
      <c r="V8" s="152"/>
      <c r="W8" s="152"/>
      <c r="X8" s="153"/>
      <c r="Y8" s="150"/>
    </row>
    <row r="9" spans="1:25" ht="27" customHeight="1" x14ac:dyDescent="0.25">
      <c r="A9" s="1194"/>
      <c r="B9" s="1195"/>
      <c r="C9" s="1197"/>
      <c r="D9" s="1199"/>
      <c r="E9" s="1197"/>
      <c r="F9" s="1197"/>
      <c r="G9" s="156" t="s">
        <v>2095</v>
      </c>
      <c r="H9" s="155">
        <v>1</v>
      </c>
      <c r="I9" s="149"/>
      <c r="J9" s="149"/>
      <c r="K9" s="149"/>
      <c r="L9" s="149"/>
      <c r="M9" s="149"/>
      <c r="N9" s="149"/>
      <c r="O9" s="149"/>
      <c r="P9" s="149"/>
      <c r="Q9" s="149"/>
      <c r="R9" s="149"/>
      <c r="S9" s="328"/>
      <c r="T9" s="542"/>
      <c r="U9" s="152"/>
      <c r="V9" s="152"/>
      <c r="W9" s="152"/>
      <c r="X9" s="153"/>
      <c r="Y9" s="150"/>
    </row>
    <row r="10" spans="1:25" ht="46.5" customHeight="1" x14ac:dyDescent="0.25">
      <c r="A10" s="1193">
        <v>3</v>
      </c>
      <c r="B10" s="1219" t="s">
        <v>2097</v>
      </c>
      <c r="C10" s="1196" t="s">
        <v>2098</v>
      </c>
      <c r="D10" s="1198" t="s">
        <v>1993</v>
      </c>
      <c r="E10" s="1196" t="s">
        <v>2099</v>
      </c>
      <c r="F10" s="1196" t="s">
        <v>2093</v>
      </c>
      <c r="G10" s="148" t="s">
        <v>2094</v>
      </c>
      <c r="H10" s="155"/>
      <c r="I10" s="149"/>
      <c r="J10" s="149"/>
      <c r="K10" s="149"/>
      <c r="L10" s="149"/>
      <c r="M10" s="149">
        <v>1</v>
      </c>
      <c r="N10" s="149"/>
      <c r="O10" s="149"/>
      <c r="P10" s="149"/>
      <c r="Q10" s="149">
        <v>1</v>
      </c>
      <c r="R10" s="149"/>
      <c r="S10" s="149"/>
      <c r="T10" s="151"/>
      <c r="U10" s="152"/>
      <c r="V10" s="152"/>
      <c r="W10" s="152"/>
      <c r="X10" s="153"/>
      <c r="Y10" s="150"/>
    </row>
    <row r="11" spans="1:25" ht="42.75" customHeight="1" x14ac:dyDescent="0.25">
      <c r="A11" s="1194"/>
      <c r="B11" s="1220"/>
      <c r="C11" s="1197"/>
      <c r="D11" s="1199"/>
      <c r="E11" s="1197"/>
      <c r="F11" s="1197"/>
      <c r="G11" s="156" t="s">
        <v>2095</v>
      </c>
      <c r="H11" s="155"/>
      <c r="I11" s="149"/>
      <c r="J11" s="149"/>
      <c r="K11" s="149"/>
      <c r="L11" s="149"/>
      <c r="M11" s="149"/>
      <c r="N11" s="149"/>
      <c r="O11" s="149"/>
      <c r="P11" s="149"/>
      <c r="Q11" s="149"/>
      <c r="R11" s="149"/>
      <c r="S11" s="328"/>
      <c r="T11" s="542"/>
      <c r="U11" s="152"/>
      <c r="V11" s="152"/>
      <c r="W11" s="152"/>
      <c r="X11" s="153"/>
      <c r="Y11" s="150"/>
    </row>
    <row r="12" spans="1:25" ht="26.25" customHeight="1" x14ac:dyDescent="0.25">
      <c r="A12" s="1193">
        <v>4</v>
      </c>
      <c r="B12" s="1218" t="s">
        <v>2100</v>
      </c>
      <c r="C12" s="1196" t="s">
        <v>2101</v>
      </c>
      <c r="D12" s="1198" t="s">
        <v>1993</v>
      </c>
      <c r="E12" s="1196" t="s">
        <v>2102</v>
      </c>
      <c r="F12" s="1196" t="s">
        <v>2093</v>
      </c>
      <c r="G12" s="148" t="s">
        <v>2094</v>
      </c>
      <c r="H12" s="149"/>
      <c r="I12" s="149"/>
      <c r="J12" s="149"/>
      <c r="K12" s="149"/>
      <c r="L12" s="149"/>
      <c r="M12" s="149"/>
      <c r="N12" s="149">
        <v>1</v>
      </c>
      <c r="O12" s="149"/>
      <c r="P12" s="149"/>
      <c r="Q12" s="149"/>
      <c r="R12" s="149"/>
      <c r="S12" s="328"/>
      <c r="T12" s="542"/>
      <c r="U12" s="152"/>
      <c r="V12" s="152"/>
      <c r="W12" s="152"/>
      <c r="X12" s="153"/>
      <c r="Y12" s="150"/>
    </row>
    <row r="13" spans="1:25" ht="25.5" customHeight="1" x14ac:dyDescent="0.25">
      <c r="A13" s="1194"/>
      <c r="B13" s="1218"/>
      <c r="C13" s="1197"/>
      <c r="D13" s="1199"/>
      <c r="E13" s="1197"/>
      <c r="F13" s="1197"/>
      <c r="G13" s="156" t="s">
        <v>2095</v>
      </c>
      <c r="H13" s="149"/>
      <c r="I13" s="149"/>
      <c r="J13" s="149"/>
      <c r="K13" s="149"/>
      <c r="L13" s="149"/>
      <c r="M13" s="149"/>
      <c r="N13" s="149">
        <v>1</v>
      </c>
      <c r="O13" s="149"/>
      <c r="P13" s="149"/>
      <c r="Q13" s="149"/>
      <c r="R13" s="149"/>
      <c r="S13" s="328"/>
      <c r="T13" s="542"/>
      <c r="U13" s="152"/>
      <c r="V13" s="152"/>
      <c r="W13" s="152"/>
      <c r="X13" s="153"/>
      <c r="Y13" s="150"/>
    </row>
    <row r="14" spans="1:25" ht="47.25" customHeight="1" x14ac:dyDescent="0.25">
      <c r="A14" s="1193">
        <v>5</v>
      </c>
      <c r="B14" s="1202" t="s">
        <v>2103</v>
      </c>
      <c r="C14" s="1196" t="s">
        <v>2104</v>
      </c>
      <c r="D14" s="1198" t="s">
        <v>1993</v>
      </c>
      <c r="E14" s="1196" t="s">
        <v>2102</v>
      </c>
      <c r="F14" s="1196" t="s">
        <v>2093</v>
      </c>
      <c r="G14" s="148" t="s">
        <v>2094</v>
      </c>
      <c r="H14" s="149"/>
      <c r="I14" s="149"/>
      <c r="J14" s="149"/>
      <c r="K14" s="149"/>
      <c r="L14" s="149">
        <v>1</v>
      </c>
      <c r="M14" s="149">
        <v>1</v>
      </c>
      <c r="N14" s="149">
        <v>1</v>
      </c>
      <c r="O14" s="149">
        <v>1</v>
      </c>
      <c r="P14" s="149">
        <v>1</v>
      </c>
      <c r="Q14" s="149">
        <v>1</v>
      </c>
      <c r="R14" s="149">
        <v>1</v>
      </c>
      <c r="S14" s="328">
        <v>1</v>
      </c>
      <c r="T14" s="542"/>
      <c r="U14" s="542"/>
      <c r="V14" s="1223"/>
      <c r="W14" s="1225"/>
      <c r="X14" s="1226"/>
      <c r="Y14" s="150"/>
    </row>
    <row r="15" spans="1:25" ht="41.25" customHeight="1" x14ac:dyDescent="0.25">
      <c r="A15" s="1194"/>
      <c r="B15" s="1228"/>
      <c r="C15" s="1197"/>
      <c r="D15" s="1199"/>
      <c r="E15" s="1197"/>
      <c r="F15" s="1197"/>
      <c r="G15" s="156" t="s">
        <v>2095</v>
      </c>
      <c r="H15" s="155"/>
      <c r="I15" s="155"/>
      <c r="J15" s="155"/>
      <c r="K15" s="155"/>
      <c r="L15" s="155">
        <v>1</v>
      </c>
      <c r="M15" s="155">
        <v>1</v>
      </c>
      <c r="N15" s="155">
        <v>1</v>
      </c>
      <c r="O15" s="155">
        <v>1</v>
      </c>
      <c r="P15" s="155">
        <v>1</v>
      </c>
      <c r="Q15" s="155"/>
      <c r="R15" s="155"/>
      <c r="S15" s="329"/>
      <c r="T15" s="542"/>
      <c r="U15" s="542"/>
      <c r="V15" s="1224"/>
      <c r="W15" s="1224"/>
      <c r="X15" s="1227"/>
      <c r="Y15" s="150"/>
    </row>
    <row r="16" spans="1:25" ht="23.25" customHeight="1" x14ac:dyDescent="0.25">
      <c r="A16" s="1193">
        <v>6</v>
      </c>
      <c r="B16" s="1202" t="s">
        <v>2105</v>
      </c>
      <c r="C16" s="1196" t="s">
        <v>2104</v>
      </c>
      <c r="D16" s="1198" t="s">
        <v>1993</v>
      </c>
      <c r="E16" s="1196" t="s">
        <v>2102</v>
      </c>
      <c r="F16" s="1196" t="s">
        <v>2093</v>
      </c>
      <c r="G16" s="148" t="s">
        <v>2094</v>
      </c>
      <c r="H16" s="149"/>
      <c r="I16" s="149"/>
      <c r="J16" s="149">
        <v>1</v>
      </c>
      <c r="K16" s="149"/>
      <c r="L16" s="149"/>
      <c r="M16" s="149"/>
      <c r="N16" s="149"/>
      <c r="O16" s="149"/>
      <c r="P16" s="149"/>
      <c r="Q16" s="149"/>
      <c r="R16" s="149"/>
      <c r="S16" s="328"/>
      <c r="T16" s="542"/>
      <c r="U16" s="542"/>
      <c r="V16" s="542"/>
      <c r="W16" s="543"/>
      <c r="X16" s="544"/>
      <c r="Y16" s="150"/>
    </row>
    <row r="17" spans="1:25" ht="21.75" customHeight="1" x14ac:dyDescent="0.25">
      <c r="A17" s="1194"/>
      <c r="B17" s="1228"/>
      <c r="C17" s="1197"/>
      <c r="D17" s="1199"/>
      <c r="E17" s="1197"/>
      <c r="F17" s="1197"/>
      <c r="G17" s="156" t="s">
        <v>2095</v>
      </c>
      <c r="H17" s="149"/>
      <c r="I17" s="149"/>
      <c r="J17" s="149">
        <v>0</v>
      </c>
      <c r="K17" s="149"/>
      <c r="L17" s="149"/>
      <c r="M17" s="149"/>
      <c r="N17" s="149"/>
      <c r="O17" s="149"/>
      <c r="P17" s="149"/>
      <c r="Q17" s="149"/>
      <c r="R17" s="149"/>
      <c r="S17" s="328"/>
      <c r="T17" s="542"/>
      <c r="U17" s="542"/>
      <c r="V17" s="542"/>
      <c r="W17" s="543"/>
      <c r="X17" s="544"/>
      <c r="Y17" s="150"/>
    </row>
    <row r="18" spans="1:25" ht="25.5" customHeight="1" x14ac:dyDescent="0.25">
      <c r="A18" s="1193">
        <v>7</v>
      </c>
      <c r="B18" s="1221" t="s">
        <v>2106</v>
      </c>
      <c r="C18" s="1196" t="s">
        <v>2104</v>
      </c>
      <c r="D18" s="1198" t="s">
        <v>1993</v>
      </c>
      <c r="E18" s="1196" t="s">
        <v>2102</v>
      </c>
      <c r="F18" s="1196" t="s">
        <v>2093</v>
      </c>
      <c r="G18" s="148" t="s">
        <v>2094</v>
      </c>
      <c r="H18" s="149"/>
      <c r="I18" s="149"/>
      <c r="J18" s="149"/>
      <c r="K18" s="149"/>
      <c r="L18" s="149">
        <v>1</v>
      </c>
      <c r="M18" s="149"/>
      <c r="N18" s="149"/>
      <c r="O18" s="149"/>
      <c r="P18" s="149"/>
      <c r="Q18" s="149"/>
      <c r="R18" s="149"/>
      <c r="S18" s="328"/>
      <c r="T18" s="542"/>
      <c r="U18" s="542"/>
      <c r="V18" s="542"/>
      <c r="W18" s="543"/>
      <c r="X18" s="544"/>
      <c r="Y18" s="150"/>
    </row>
    <row r="19" spans="1:25" ht="22.5" customHeight="1" x14ac:dyDescent="0.25">
      <c r="A19" s="1194"/>
      <c r="B19" s="1222"/>
      <c r="C19" s="1197"/>
      <c r="D19" s="1199"/>
      <c r="E19" s="1197"/>
      <c r="F19" s="1197"/>
      <c r="G19" s="156" t="s">
        <v>2095</v>
      </c>
      <c r="H19" s="149"/>
      <c r="I19" s="149"/>
      <c r="J19" s="149"/>
      <c r="K19" s="149"/>
      <c r="L19" s="149">
        <v>0</v>
      </c>
      <c r="M19" s="149"/>
      <c r="N19" s="149"/>
      <c r="O19" s="149"/>
      <c r="P19" s="149"/>
      <c r="Q19" s="149"/>
      <c r="R19" s="149"/>
      <c r="S19" s="328"/>
      <c r="T19" s="542"/>
      <c r="U19" s="542"/>
      <c r="V19" s="542"/>
      <c r="W19" s="543"/>
      <c r="X19" s="544"/>
      <c r="Y19" s="150"/>
    </row>
    <row r="20" spans="1:25" ht="21" customHeight="1" x14ac:dyDescent="0.25">
      <c r="A20" s="1193">
        <v>8</v>
      </c>
      <c r="B20" s="1229" t="s">
        <v>2107</v>
      </c>
      <c r="C20" s="1196" t="s">
        <v>2101</v>
      </c>
      <c r="D20" s="1198" t="s">
        <v>2108</v>
      </c>
      <c r="E20" s="1196" t="s">
        <v>2102</v>
      </c>
      <c r="F20" s="1196" t="s">
        <v>2093</v>
      </c>
      <c r="G20" s="148" t="s">
        <v>2094</v>
      </c>
      <c r="H20" s="149"/>
      <c r="I20" s="149"/>
      <c r="J20" s="149"/>
      <c r="K20" s="149"/>
      <c r="L20" s="149"/>
      <c r="M20" s="149">
        <v>1</v>
      </c>
      <c r="N20" s="149"/>
      <c r="O20" s="149"/>
      <c r="P20" s="149"/>
      <c r="Q20" s="149"/>
      <c r="R20" s="149"/>
      <c r="S20" s="328"/>
      <c r="T20" s="542"/>
      <c r="U20" s="542"/>
      <c r="V20" s="542"/>
      <c r="W20" s="543"/>
      <c r="X20" s="544"/>
      <c r="Y20" s="150"/>
    </row>
    <row r="21" spans="1:25" ht="21.75" customHeight="1" x14ac:dyDescent="0.25">
      <c r="A21" s="1194"/>
      <c r="B21" s="1230"/>
      <c r="C21" s="1197"/>
      <c r="D21" s="1199"/>
      <c r="E21" s="1197"/>
      <c r="F21" s="1197"/>
      <c r="G21" s="156" t="s">
        <v>2095</v>
      </c>
      <c r="H21" s="149"/>
      <c r="I21" s="149"/>
      <c r="J21" s="149"/>
      <c r="K21" s="149"/>
      <c r="L21" s="149"/>
      <c r="M21" s="149">
        <v>1</v>
      </c>
      <c r="N21" s="149"/>
      <c r="O21" s="157"/>
      <c r="P21" s="149"/>
      <c r="Q21" s="149"/>
      <c r="R21" s="149"/>
      <c r="S21" s="328"/>
      <c r="T21" s="542"/>
      <c r="U21" s="542"/>
      <c r="V21" s="542"/>
      <c r="W21" s="543"/>
      <c r="X21" s="544"/>
      <c r="Y21" s="150"/>
    </row>
    <row r="22" spans="1:25" ht="20.25" customHeight="1" x14ac:dyDescent="0.25">
      <c r="A22" s="1193">
        <v>9</v>
      </c>
      <c r="B22" s="1202" t="s">
        <v>2109</v>
      </c>
      <c r="C22" s="1196" t="s">
        <v>2101</v>
      </c>
      <c r="D22" s="1198" t="s">
        <v>1993</v>
      </c>
      <c r="E22" s="1196" t="s">
        <v>2102</v>
      </c>
      <c r="F22" s="1196" t="s">
        <v>2093</v>
      </c>
      <c r="G22" s="148" t="s">
        <v>2094</v>
      </c>
      <c r="H22" s="149"/>
      <c r="I22" s="149"/>
      <c r="J22" s="149"/>
      <c r="K22" s="149"/>
      <c r="L22" s="149"/>
      <c r="M22" s="149">
        <v>1</v>
      </c>
      <c r="N22" s="149"/>
      <c r="O22" s="149"/>
      <c r="P22" s="149"/>
      <c r="Q22" s="149"/>
      <c r="R22" s="149"/>
      <c r="S22" s="328"/>
      <c r="T22" s="542"/>
      <c r="U22" s="542"/>
      <c r="V22" s="542"/>
      <c r="W22" s="543"/>
      <c r="X22" s="544"/>
      <c r="Y22" s="150"/>
    </row>
    <row r="23" spans="1:25" ht="26.25" customHeight="1" x14ac:dyDescent="0.25">
      <c r="A23" s="1194"/>
      <c r="B23" s="1203"/>
      <c r="C23" s="1197"/>
      <c r="D23" s="1199"/>
      <c r="E23" s="1197"/>
      <c r="F23" s="1197"/>
      <c r="G23" s="156" t="s">
        <v>2095</v>
      </c>
      <c r="H23" s="149"/>
      <c r="I23" s="158"/>
      <c r="J23" s="149"/>
      <c r="K23" s="149"/>
      <c r="L23" s="149"/>
      <c r="M23" s="149">
        <v>1</v>
      </c>
      <c r="N23" s="149"/>
      <c r="O23" s="149"/>
      <c r="P23" s="149"/>
      <c r="Q23" s="149"/>
      <c r="R23" s="149"/>
      <c r="S23" s="328"/>
      <c r="T23" s="542"/>
      <c r="U23" s="542"/>
      <c r="V23" s="542"/>
      <c r="W23" s="543"/>
      <c r="X23" s="544"/>
      <c r="Y23" s="150"/>
    </row>
    <row r="24" spans="1:25" ht="28.5" customHeight="1" x14ac:dyDescent="0.25">
      <c r="A24" s="1193">
        <v>10</v>
      </c>
      <c r="B24" s="1202" t="s">
        <v>2110</v>
      </c>
      <c r="C24" s="1196" t="s">
        <v>2101</v>
      </c>
      <c r="D24" s="1198" t="s">
        <v>1993</v>
      </c>
      <c r="E24" s="1196" t="s">
        <v>2102</v>
      </c>
      <c r="F24" s="1196" t="s">
        <v>2093</v>
      </c>
      <c r="G24" s="148" t="s">
        <v>2094</v>
      </c>
      <c r="H24" s="159"/>
      <c r="I24" s="160"/>
      <c r="J24" s="161"/>
      <c r="K24" s="149"/>
      <c r="L24" s="149"/>
      <c r="M24" s="149"/>
      <c r="N24" s="149"/>
      <c r="O24" s="149"/>
      <c r="P24" s="149"/>
      <c r="Q24" s="149">
        <v>1</v>
      </c>
      <c r="R24" s="149"/>
      <c r="S24" s="328"/>
      <c r="T24" s="542"/>
      <c r="U24" s="542"/>
      <c r="V24" s="542"/>
      <c r="W24" s="543"/>
      <c r="X24" s="544"/>
      <c r="Y24" s="150"/>
    </row>
    <row r="25" spans="1:25" ht="18.75" customHeight="1" x14ac:dyDescent="0.25">
      <c r="A25" s="1194"/>
      <c r="B25" s="1203"/>
      <c r="C25" s="1197"/>
      <c r="D25" s="1199"/>
      <c r="E25" s="1197"/>
      <c r="F25" s="1197"/>
      <c r="G25" s="156" t="s">
        <v>2095</v>
      </c>
      <c r="H25" s="159"/>
      <c r="I25" s="162"/>
      <c r="J25" s="161"/>
      <c r="K25" s="149"/>
      <c r="L25" s="149"/>
      <c r="M25" s="149"/>
      <c r="N25" s="157"/>
      <c r="O25" s="149"/>
      <c r="P25" s="149"/>
      <c r="Q25" s="149"/>
      <c r="R25" s="149"/>
      <c r="S25" s="328"/>
      <c r="T25" s="542"/>
      <c r="U25" s="542"/>
      <c r="V25" s="542"/>
      <c r="W25" s="543"/>
      <c r="X25" s="544"/>
      <c r="Y25" s="150"/>
    </row>
    <row r="26" spans="1:25" ht="27" customHeight="1" x14ac:dyDescent="0.25">
      <c r="A26" s="1193">
        <v>11</v>
      </c>
      <c r="B26" s="1202" t="s">
        <v>2111</v>
      </c>
      <c r="C26" s="1196" t="s">
        <v>2101</v>
      </c>
      <c r="D26" s="1198" t="s">
        <v>1993</v>
      </c>
      <c r="E26" s="1196" t="s">
        <v>2102</v>
      </c>
      <c r="F26" s="1196" t="s">
        <v>2093</v>
      </c>
      <c r="G26" s="148" t="s">
        <v>2094</v>
      </c>
      <c r="H26" s="149"/>
      <c r="I26" s="149"/>
      <c r="J26" s="149"/>
      <c r="K26" s="149"/>
      <c r="L26" s="149"/>
      <c r="M26" s="149"/>
      <c r="N26" s="149"/>
      <c r="O26" s="149"/>
      <c r="P26" s="149"/>
      <c r="Q26" s="149"/>
      <c r="R26" s="149">
        <v>1</v>
      </c>
      <c r="S26" s="328"/>
      <c r="T26" s="542"/>
      <c r="U26" s="542"/>
      <c r="V26" s="542"/>
      <c r="W26" s="543"/>
      <c r="X26" s="544"/>
      <c r="Y26" s="150"/>
    </row>
    <row r="27" spans="1:25" ht="29.25" customHeight="1" x14ac:dyDescent="0.25">
      <c r="A27" s="1194"/>
      <c r="B27" s="1203"/>
      <c r="C27" s="1197"/>
      <c r="D27" s="1199"/>
      <c r="E27" s="1197"/>
      <c r="F27" s="1197"/>
      <c r="G27" s="156" t="s">
        <v>2095</v>
      </c>
      <c r="H27" s="149"/>
      <c r="I27" s="149"/>
      <c r="J27" s="149"/>
      <c r="K27" s="149"/>
      <c r="L27" s="149"/>
      <c r="M27" s="149"/>
      <c r="N27" s="149"/>
      <c r="O27" s="149"/>
      <c r="P27" s="149"/>
      <c r="Q27" s="149"/>
      <c r="R27" s="149"/>
      <c r="S27" s="328"/>
      <c r="T27" s="542"/>
      <c r="U27" s="542"/>
      <c r="V27" s="542"/>
      <c r="W27" s="543"/>
      <c r="X27" s="544"/>
      <c r="Y27" s="150"/>
    </row>
    <row r="28" spans="1:25" ht="21.95" customHeight="1" x14ac:dyDescent="0.25">
      <c r="A28" s="1193">
        <v>12</v>
      </c>
      <c r="B28" s="1229" t="s">
        <v>2112</v>
      </c>
      <c r="C28" s="1196" t="s">
        <v>2104</v>
      </c>
      <c r="D28" s="1198" t="s">
        <v>1993</v>
      </c>
      <c r="E28" s="1196" t="s">
        <v>2102</v>
      </c>
      <c r="F28" s="1196" t="s">
        <v>2093</v>
      </c>
      <c r="G28" s="148" t="s">
        <v>2094</v>
      </c>
      <c r="H28" s="149"/>
      <c r="I28" s="149"/>
      <c r="J28" s="149"/>
      <c r="K28" s="149"/>
      <c r="L28" s="149"/>
      <c r="M28" s="149">
        <v>1</v>
      </c>
      <c r="N28" s="149"/>
      <c r="O28" s="149"/>
      <c r="P28" s="149"/>
      <c r="Q28" s="149"/>
      <c r="R28" s="149"/>
      <c r="S28" s="328">
        <v>1</v>
      </c>
      <c r="T28" s="542"/>
      <c r="U28" s="542"/>
      <c r="V28" s="542"/>
      <c r="W28" s="543"/>
      <c r="X28" s="544"/>
      <c r="Y28" s="150"/>
    </row>
    <row r="29" spans="1:25" ht="27.75" customHeight="1" x14ac:dyDescent="0.25">
      <c r="A29" s="1194"/>
      <c r="B29" s="1230"/>
      <c r="C29" s="1197"/>
      <c r="D29" s="1199"/>
      <c r="E29" s="1197"/>
      <c r="F29" s="1197"/>
      <c r="G29" s="156" t="s">
        <v>2095</v>
      </c>
      <c r="H29" s="149"/>
      <c r="I29" s="149"/>
      <c r="J29" s="149"/>
      <c r="K29" s="149"/>
      <c r="L29" s="149"/>
      <c r="M29" s="149">
        <v>0</v>
      </c>
      <c r="N29" s="149"/>
      <c r="O29" s="157"/>
      <c r="P29" s="149"/>
      <c r="Q29" s="149"/>
      <c r="R29" s="149"/>
      <c r="S29" s="328"/>
      <c r="T29" s="542"/>
      <c r="U29" s="542"/>
      <c r="V29" s="542"/>
      <c r="W29" s="543"/>
      <c r="X29" s="544"/>
      <c r="Y29" s="150"/>
    </row>
    <row r="30" spans="1:25" ht="21.75" customHeight="1" x14ac:dyDescent="0.25">
      <c r="A30" s="1193">
        <v>13</v>
      </c>
      <c r="B30" s="1231" t="s">
        <v>2113</v>
      </c>
      <c r="C30" s="1196" t="s">
        <v>2101</v>
      </c>
      <c r="D30" s="1198" t="s">
        <v>1993</v>
      </c>
      <c r="E30" s="1196" t="s">
        <v>2102</v>
      </c>
      <c r="F30" s="1196" t="s">
        <v>2093</v>
      </c>
      <c r="G30" s="148" t="s">
        <v>2094</v>
      </c>
      <c r="H30" s="149"/>
      <c r="I30" s="149"/>
      <c r="J30" s="149"/>
      <c r="K30" s="149"/>
      <c r="L30" s="149"/>
      <c r="M30" s="149"/>
      <c r="N30" s="149"/>
      <c r="O30" s="149"/>
      <c r="P30" s="149"/>
      <c r="Q30" s="149"/>
      <c r="R30" s="149"/>
      <c r="S30" s="328">
        <v>1</v>
      </c>
      <c r="T30" s="163"/>
      <c r="U30" s="163"/>
      <c r="V30" s="163"/>
      <c r="W30" s="163"/>
      <c r="X30" s="164"/>
      <c r="Y30" s="150"/>
    </row>
    <row r="31" spans="1:25" ht="30.75" customHeight="1" x14ac:dyDescent="0.25">
      <c r="A31" s="1194"/>
      <c r="B31" s="1232"/>
      <c r="C31" s="1197"/>
      <c r="D31" s="1199"/>
      <c r="E31" s="1197"/>
      <c r="F31" s="1197"/>
      <c r="G31" s="156" t="s">
        <v>2095</v>
      </c>
      <c r="H31" s="149"/>
      <c r="I31" s="149"/>
      <c r="J31" s="149"/>
      <c r="K31" s="149"/>
      <c r="L31" s="149"/>
      <c r="M31" s="149"/>
      <c r="N31" s="149"/>
      <c r="O31" s="149"/>
      <c r="P31" s="149"/>
      <c r="Q31" s="149"/>
      <c r="R31" s="149"/>
      <c r="S31" s="328"/>
      <c r="T31" s="163"/>
      <c r="U31" s="163"/>
      <c r="V31" s="163"/>
      <c r="W31" s="163"/>
      <c r="X31" s="164"/>
      <c r="Y31" s="150"/>
    </row>
    <row r="32" spans="1:25" ht="25.5" customHeight="1" x14ac:dyDescent="0.25">
      <c r="A32" s="1193">
        <v>14</v>
      </c>
      <c r="B32" s="1234" t="s">
        <v>2114</v>
      </c>
      <c r="C32" s="1197" t="s">
        <v>2115</v>
      </c>
      <c r="D32" s="1199" t="s">
        <v>2108</v>
      </c>
      <c r="E32" s="1197" t="s">
        <v>2102</v>
      </c>
      <c r="F32" s="1197" t="s">
        <v>2093</v>
      </c>
      <c r="G32" s="165" t="s">
        <v>2094</v>
      </c>
      <c r="H32" s="149"/>
      <c r="I32" s="149"/>
      <c r="J32" s="149"/>
      <c r="K32" s="149"/>
      <c r="L32" s="149"/>
      <c r="M32" s="149">
        <v>1</v>
      </c>
      <c r="N32" s="149"/>
      <c r="O32" s="149"/>
      <c r="P32" s="149"/>
      <c r="Q32" s="149"/>
      <c r="R32" s="149"/>
      <c r="S32" s="328">
        <v>1</v>
      </c>
      <c r="T32" s="163"/>
      <c r="U32" s="163"/>
      <c r="V32" s="163"/>
      <c r="W32" s="163"/>
      <c r="X32" s="164"/>
      <c r="Y32" s="150"/>
    </row>
    <row r="33" spans="1:25" ht="35.25" customHeight="1" x14ac:dyDescent="0.25">
      <c r="A33" s="1194"/>
      <c r="B33" s="1234"/>
      <c r="C33" s="1197"/>
      <c r="D33" s="1199"/>
      <c r="E33" s="1197"/>
      <c r="F33" s="1197"/>
      <c r="G33" s="166" t="s">
        <v>2095</v>
      </c>
      <c r="H33" s="149"/>
      <c r="I33" s="149"/>
      <c r="J33" s="149"/>
      <c r="K33" s="149"/>
      <c r="L33" s="149"/>
      <c r="M33" s="149">
        <v>1</v>
      </c>
      <c r="N33" s="149"/>
      <c r="O33" s="149"/>
      <c r="P33" s="149"/>
      <c r="Q33" s="149"/>
      <c r="R33" s="149"/>
      <c r="S33" s="328"/>
      <c r="T33" s="163"/>
      <c r="U33" s="163"/>
      <c r="V33" s="163"/>
      <c r="W33" s="163"/>
      <c r="X33" s="164"/>
      <c r="Y33" s="150"/>
    </row>
    <row r="34" spans="1:25" ht="35.25" customHeight="1" x14ac:dyDescent="0.25">
      <c r="A34" s="1193">
        <v>15</v>
      </c>
      <c r="B34" s="1233" t="s">
        <v>2116</v>
      </c>
      <c r="C34" s="1197" t="s">
        <v>2115</v>
      </c>
      <c r="D34" s="1199" t="s">
        <v>2108</v>
      </c>
      <c r="E34" s="1197" t="s">
        <v>2102</v>
      </c>
      <c r="F34" s="1197" t="s">
        <v>2093</v>
      </c>
      <c r="G34" s="165" t="s">
        <v>2094</v>
      </c>
      <c r="H34" s="149"/>
      <c r="I34" s="149"/>
      <c r="J34" s="149"/>
      <c r="K34" s="149"/>
      <c r="L34" s="149"/>
      <c r="M34" s="149"/>
      <c r="N34" s="149"/>
      <c r="O34" s="149">
        <v>1</v>
      </c>
      <c r="P34" s="149"/>
      <c r="Q34" s="149"/>
      <c r="R34" s="149"/>
      <c r="S34" s="328"/>
      <c r="T34" s="163"/>
      <c r="U34" s="163"/>
      <c r="V34" s="163"/>
      <c r="W34" s="163"/>
      <c r="X34" s="164"/>
      <c r="Y34" s="150"/>
    </row>
    <row r="35" spans="1:25" ht="35.25" customHeight="1" x14ac:dyDescent="0.25">
      <c r="A35" s="1194"/>
      <c r="B35" s="1233"/>
      <c r="C35" s="1197"/>
      <c r="D35" s="1199"/>
      <c r="E35" s="1197"/>
      <c r="F35" s="1197"/>
      <c r="G35" s="166" t="s">
        <v>2095</v>
      </c>
      <c r="H35" s="149"/>
      <c r="I35" s="149"/>
      <c r="J35" s="149"/>
      <c r="K35" s="149"/>
      <c r="L35" s="149"/>
      <c r="M35" s="149"/>
      <c r="N35" s="149"/>
      <c r="O35" s="149">
        <v>1</v>
      </c>
      <c r="P35" s="149"/>
      <c r="Q35" s="149"/>
      <c r="R35" s="149"/>
      <c r="S35" s="328"/>
      <c r="T35" s="163"/>
      <c r="U35" s="163"/>
      <c r="V35" s="163"/>
      <c r="W35" s="163"/>
      <c r="X35" s="164"/>
      <c r="Y35" s="150"/>
    </row>
    <row r="36" spans="1:25" ht="42.75" customHeight="1" x14ac:dyDescent="0.25">
      <c r="A36" s="1193">
        <v>16</v>
      </c>
      <c r="B36" s="1236" t="s">
        <v>2117</v>
      </c>
      <c r="C36" s="1197" t="s">
        <v>2118</v>
      </c>
      <c r="D36" s="1199" t="s">
        <v>2119</v>
      </c>
      <c r="E36" s="1197" t="s">
        <v>2102</v>
      </c>
      <c r="F36" s="1197" t="s">
        <v>2093</v>
      </c>
      <c r="G36" s="165" t="s">
        <v>2094</v>
      </c>
      <c r="H36" s="149"/>
      <c r="I36" s="149"/>
      <c r="J36" s="149"/>
      <c r="K36" s="149"/>
      <c r="L36" s="149">
        <v>1</v>
      </c>
      <c r="M36" s="149"/>
      <c r="N36" s="155"/>
      <c r="O36" s="149">
        <v>1</v>
      </c>
      <c r="P36" s="149"/>
      <c r="Q36" s="149"/>
      <c r="R36" s="149"/>
      <c r="S36" s="328">
        <v>1</v>
      </c>
      <c r="T36" s="163"/>
      <c r="U36" s="163"/>
      <c r="V36" s="163"/>
      <c r="W36" s="163"/>
      <c r="X36" s="164"/>
      <c r="Y36" s="150"/>
    </row>
    <row r="37" spans="1:25" ht="32.25" customHeight="1" x14ac:dyDescent="0.25">
      <c r="A37" s="1194"/>
      <c r="B37" s="1236"/>
      <c r="C37" s="1197"/>
      <c r="D37" s="1199"/>
      <c r="E37" s="1197"/>
      <c r="F37" s="1197"/>
      <c r="G37" s="166" t="s">
        <v>2095</v>
      </c>
      <c r="H37" s="149"/>
      <c r="I37" s="149"/>
      <c r="J37" s="149"/>
      <c r="K37" s="149"/>
      <c r="L37" s="149">
        <v>0</v>
      </c>
      <c r="M37" s="149"/>
      <c r="N37" s="157"/>
      <c r="O37" s="149">
        <v>1</v>
      </c>
      <c r="P37" s="149"/>
      <c r="Q37" s="149"/>
      <c r="R37" s="149"/>
      <c r="S37" s="328"/>
      <c r="T37" s="163"/>
      <c r="U37" s="163"/>
      <c r="V37" s="163"/>
      <c r="W37" s="163"/>
      <c r="X37" s="164"/>
      <c r="Y37" s="150"/>
    </row>
    <row r="38" spans="1:25" ht="30" customHeight="1" x14ac:dyDescent="0.25">
      <c r="A38" s="1193">
        <v>17</v>
      </c>
      <c r="B38" s="1235" t="s">
        <v>2120</v>
      </c>
      <c r="C38" s="1197" t="s">
        <v>2101</v>
      </c>
      <c r="D38" s="1199" t="s">
        <v>1993</v>
      </c>
      <c r="E38" s="1197" t="s">
        <v>2102</v>
      </c>
      <c r="F38" s="1197" t="s">
        <v>2093</v>
      </c>
      <c r="G38" s="165" t="s">
        <v>2094</v>
      </c>
      <c r="H38" s="149"/>
      <c r="I38" s="158"/>
      <c r="J38" s="149"/>
      <c r="K38" s="149"/>
      <c r="L38" s="149"/>
      <c r="M38" s="149"/>
      <c r="N38" s="149"/>
      <c r="O38" s="149"/>
      <c r="P38" s="149"/>
      <c r="Q38" s="149">
        <v>1</v>
      </c>
      <c r="R38" s="149"/>
      <c r="S38" s="328"/>
      <c r="T38" s="163"/>
      <c r="U38" s="163"/>
      <c r="V38" s="163"/>
      <c r="W38" s="163"/>
      <c r="X38" s="164"/>
      <c r="Y38" s="150"/>
    </row>
    <row r="39" spans="1:25" ht="25.5" customHeight="1" x14ac:dyDescent="0.25">
      <c r="A39" s="1194"/>
      <c r="B39" s="1235"/>
      <c r="C39" s="1197"/>
      <c r="D39" s="1199"/>
      <c r="E39" s="1197"/>
      <c r="F39" s="1197"/>
      <c r="G39" s="166" t="s">
        <v>2095</v>
      </c>
      <c r="H39" s="159"/>
      <c r="I39" s="162"/>
      <c r="J39" s="161"/>
      <c r="K39" s="149"/>
      <c r="L39" s="158"/>
      <c r="M39" s="149"/>
      <c r="N39" s="149"/>
      <c r="O39" s="149"/>
      <c r="P39" s="149"/>
      <c r="Q39" s="149"/>
      <c r="R39" s="149"/>
      <c r="S39" s="328"/>
      <c r="T39" s="163"/>
      <c r="U39" s="163"/>
      <c r="V39" s="163"/>
      <c r="W39" s="163"/>
      <c r="X39" s="164"/>
      <c r="Y39" s="150"/>
    </row>
    <row r="40" spans="1:25" ht="27.75" customHeight="1" x14ac:dyDescent="0.25">
      <c r="A40" s="1193">
        <v>18</v>
      </c>
      <c r="B40" s="1236" t="s">
        <v>2121</v>
      </c>
      <c r="C40" s="1197" t="s">
        <v>2104</v>
      </c>
      <c r="D40" s="1199" t="s">
        <v>1993</v>
      </c>
      <c r="E40" s="1197" t="s">
        <v>2102</v>
      </c>
      <c r="F40" s="1197" t="s">
        <v>2093</v>
      </c>
      <c r="G40" s="165" t="s">
        <v>2094</v>
      </c>
      <c r="H40" s="159"/>
      <c r="I40" s="162"/>
      <c r="J40" s="161"/>
      <c r="K40" s="159"/>
      <c r="L40" s="161">
        <v>1</v>
      </c>
      <c r="M40" s="161"/>
      <c r="N40" s="149">
        <v>1</v>
      </c>
      <c r="O40" s="149"/>
      <c r="P40" s="149">
        <v>1</v>
      </c>
      <c r="Q40" s="149"/>
      <c r="R40" s="149">
        <v>1</v>
      </c>
      <c r="S40" s="328"/>
      <c r="T40" s="163"/>
      <c r="U40" s="163"/>
      <c r="V40" s="163"/>
      <c r="W40" s="163"/>
      <c r="X40" s="164"/>
      <c r="Y40" s="150"/>
    </row>
    <row r="41" spans="1:25" ht="27" customHeight="1" x14ac:dyDescent="0.25">
      <c r="A41" s="1194"/>
      <c r="B41" s="1236"/>
      <c r="C41" s="1197"/>
      <c r="D41" s="1199"/>
      <c r="E41" s="1197"/>
      <c r="F41" s="1197"/>
      <c r="G41" s="166" t="s">
        <v>2095</v>
      </c>
      <c r="H41" s="159"/>
      <c r="I41" s="162"/>
      <c r="J41" s="161"/>
      <c r="K41" s="159"/>
      <c r="L41" s="162"/>
      <c r="M41" s="161"/>
      <c r="N41" s="149">
        <v>1</v>
      </c>
      <c r="O41" s="149"/>
      <c r="P41" s="149">
        <v>1</v>
      </c>
      <c r="Q41" s="149"/>
      <c r="R41" s="149"/>
      <c r="S41" s="328"/>
      <c r="T41" s="163"/>
      <c r="U41" s="163"/>
      <c r="V41" s="163"/>
      <c r="W41" s="163"/>
      <c r="X41" s="164"/>
      <c r="Y41" s="150"/>
    </row>
    <row r="42" spans="1:25" ht="24" customHeight="1" x14ac:dyDescent="0.25">
      <c r="A42" s="1193">
        <v>19</v>
      </c>
      <c r="B42" s="1236" t="s">
        <v>2122</v>
      </c>
      <c r="C42" s="1197" t="s">
        <v>2118</v>
      </c>
      <c r="D42" s="1199" t="s">
        <v>1993</v>
      </c>
      <c r="E42" s="1197" t="s">
        <v>2102</v>
      </c>
      <c r="F42" s="1197" t="s">
        <v>2093</v>
      </c>
      <c r="G42" s="165" t="s">
        <v>2094</v>
      </c>
      <c r="H42" s="149"/>
      <c r="I42" s="149"/>
      <c r="J42" s="149"/>
      <c r="K42" s="149">
        <v>1</v>
      </c>
      <c r="L42" s="149"/>
      <c r="M42" s="149"/>
      <c r="N42" s="149"/>
      <c r="O42" s="149"/>
      <c r="P42" s="149"/>
      <c r="Q42" s="149"/>
      <c r="R42" s="149"/>
      <c r="S42" s="328"/>
      <c r="T42" s="163"/>
      <c r="U42" s="163"/>
      <c r="V42" s="163"/>
      <c r="W42" s="163"/>
      <c r="X42" s="164"/>
      <c r="Y42" s="150"/>
    </row>
    <row r="43" spans="1:25" ht="24" customHeight="1" x14ac:dyDescent="0.25">
      <c r="A43" s="1194"/>
      <c r="B43" s="1236"/>
      <c r="C43" s="1197"/>
      <c r="D43" s="1199"/>
      <c r="E43" s="1197"/>
      <c r="F43" s="1197"/>
      <c r="G43" s="166" t="s">
        <v>2095</v>
      </c>
      <c r="H43" s="149"/>
      <c r="I43" s="149"/>
      <c r="J43" s="149"/>
      <c r="K43" s="149"/>
      <c r="L43" s="149"/>
      <c r="M43" s="149"/>
      <c r="N43" s="149"/>
      <c r="O43" s="149"/>
      <c r="P43" s="149"/>
      <c r="Q43" s="158"/>
      <c r="R43" s="149"/>
      <c r="S43" s="328"/>
      <c r="T43" s="163"/>
      <c r="U43" s="163"/>
      <c r="V43" s="163"/>
      <c r="W43" s="163"/>
      <c r="X43" s="164"/>
      <c r="Y43" s="150"/>
    </row>
    <row r="44" spans="1:25" ht="24" customHeight="1" x14ac:dyDescent="0.25">
      <c r="A44" s="1193">
        <v>20</v>
      </c>
      <c r="B44" s="1237" t="s">
        <v>2123</v>
      </c>
      <c r="C44" s="1197" t="s">
        <v>2124</v>
      </c>
      <c r="D44" s="1199" t="s">
        <v>1993</v>
      </c>
      <c r="E44" s="1197" t="s">
        <v>2102</v>
      </c>
      <c r="F44" s="1197" t="s">
        <v>2093</v>
      </c>
      <c r="G44" s="165" t="s">
        <v>2094</v>
      </c>
      <c r="H44" s="149"/>
      <c r="I44" s="149"/>
      <c r="J44" s="149"/>
      <c r="K44" s="149"/>
      <c r="L44" s="149"/>
      <c r="M44" s="149"/>
      <c r="N44" s="158"/>
      <c r="O44" s="158"/>
      <c r="P44" s="330">
        <v>1</v>
      </c>
      <c r="Q44" s="331"/>
      <c r="R44" s="332"/>
      <c r="S44" s="328"/>
      <c r="T44" s="163"/>
      <c r="U44" s="163"/>
      <c r="V44" s="163"/>
      <c r="W44" s="163"/>
      <c r="X44" s="164"/>
      <c r="Y44" s="150"/>
    </row>
    <row r="45" spans="1:25" ht="24" customHeight="1" x14ac:dyDescent="0.25">
      <c r="A45" s="1194"/>
      <c r="B45" s="1237"/>
      <c r="C45" s="1197"/>
      <c r="D45" s="1199"/>
      <c r="E45" s="1197"/>
      <c r="F45" s="1197"/>
      <c r="G45" s="166" t="s">
        <v>2095</v>
      </c>
      <c r="H45" s="149"/>
      <c r="I45" s="149"/>
      <c r="J45" s="149"/>
      <c r="K45" s="149"/>
      <c r="L45" s="149"/>
      <c r="M45" s="159"/>
      <c r="N45" s="162"/>
      <c r="O45" s="162"/>
      <c r="P45" s="149">
        <v>1</v>
      </c>
      <c r="Q45" s="8"/>
      <c r="R45" s="162"/>
      <c r="S45" s="333"/>
      <c r="T45" s="163"/>
      <c r="U45" s="163"/>
      <c r="V45" s="163"/>
      <c r="W45" s="163"/>
      <c r="X45" s="164"/>
      <c r="Y45" s="150"/>
    </row>
    <row r="46" spans="1:25" ht="24" customHeight="1" x14ac:dyDescent="0.25">
      <c r="A46" s="1193">
        <v>21</v>
      </c>
      <c r="B46" s="1236" t="s">
        <v>2125</v>
      </c>
      <c r="C46" s="1197" t="s">
        <v>2118</v>
      </c>
      <c r="D46" s="1199" t="s">
        <v>1993</v>
      </c>
      <c r="E46" s="1197" t="s">
        <v>2102</v>
      </c>
      <c r="F46" s="1197" t="s">
        <v>2093</v>
      </c>
      <c r="G46" s="165" t="s">
        <v>2094</v>
      </c>
      <c r="H46" s="149"/>
      <c r="I46" s="149"/>
      <c r="J46" s="149"/>
      <c r="K46" s="149"/>
      <c r="L46" s="149"/>
      <c r="M46" s="159"/>
      <c r="N46" s="162">
        <v>1</v>
      </c>
      <c r="O46" s="162"/>
      <c r="P46" s="162"/>
      <c r="Q46" s="162"/>
      <c r="R46" s="162">
        <v>1</v>
      </c>
      <c r="S46" s="333">
        <v>1</v>
      </c>
      <c r="T46" s="163"/>
      <c r="U46" s="163"/>
      <c r="V46" s="163"/>
      <c r="W46" s="163"/>
      <c r="X46" s="164"/>
      <c r="Y46" s="150"/>
    </row>
    <row r="47" spans="1:25" ht="24" customHeight="1" x14ac:dyDescent="0.25">
      <c r="A47" s="1194"/>
      <c r="B47" s="1236"/>
      <c r="C47" s="1197"/>
      <c r="D47" s="1199"/>
      <c r="E47" s="1197"/>
      <c r="F47" s="1197"/>
      <c r="G47" s="166" t="s">
        <v>2095</v>
      </c>
      <c r="H47" s="149"/>
      <c r="I47" s="149"/>
      <c r="J47" s="149"/>
      <c r="K47" s="149"/>
      <c r="L47" s="149"/>
      <c r="M47" s="149"/>
      <c r="N47" s="149"/>
      <c r="O47" s="149">
        <v>1</v>
      </c>
      <c r="P47" s="149"/>
      <c r="Q47" s="149"/>
      <c r="R47" s="149"/>
      <c r="S47" s="328"/>
      <c r="T47" s="163"/>
      <c r="U47" s="163"/>
      <c r="V47" s="163"/>
      <c r="W47" s="163"/>
      <c r="X47" s="164"/>
      <c r="Y47" s="150"/>
    </row>
    <row r="48" spans="1:25" ht="24" customHeight="1" x14ac:dyDescent="0.25">
      <c r="A48" s="1193">
        <v>25</v>
      </c>
      <c r="B48" s="1235" t="s">
        <v>2126</v>
      </c>
      <c r="C48" s="1197" t="s">
        <v>2124</v>
      </c>
      <c r="D48" s="1199" t="s">
        <v>1993</v>
      </c>
      <c r="E48" s="1197" t="s">
        <v>2102</v>
      </c>
      <c r="F48" s="1197" t="s">
        <v>2093</v>
      </c>
      <c r="G48" s="165" t="s">
        <v>2094</v>
      </c>
      <c r="H48" s="149"/>
      <c r="I48" s="149"/>
      <c r="J48" s="149"/>
      <c r="K48" s="149"/>
      <c r="L48" s="149">
        <v>1</v>
      </c>
      <c r="M48" s="149"/>
      <c r="N48" s="149"/>
      <c r="O48" s="149"/>
      <c r="P48" s="149"/>
      <c r="Q48" s="149"/>
      <c r="R48" s="149"/>
      <c r="S48" s="328"/>
      <c r="T48" s="163"/>
      <c r="U48" s="163"/>
      <c r="V48" s="163"/>
      <c r="W48" s="163"/>
      <c r="X48" s="164"/>
      <c r="Y48" s="150"/>
    </row>
    <row r="49" spans="1:25" ht="24" customHeight="1" x14ac:dyDescent="0.25">
      <c r="A49" s="1194"/>
      <c r="B49" s="1235"/>
      <c r="C49" s="1197"/>
      <c r="D49" s="1199"/>
      <c r="E49" s="1197"/>
      <c r="F49" s="1197"/>
      <c r="G49" s="166" t="s">
        <v>2095</v>
      </c>
      <c r="H49" s="149"/>
      <c r="I49" s="149"/>
      <c r="J49" s="149"/>
      <c r="K49" s="149"/>
      <c r="L49" s="149"/>
      <c r="M49" s="158"/>
      <c r="N49" s="149"/>
      <c r="O49" s="149"/>
      <c r="P49" s="149"/>
      <c r="Q49" s="149"/>
      <c r="R49" s="149"/>
      <c r="S49" s="328"/>
      <c r="T49" s="163"/>
      <c r="U49" s="163"/>
      <c r="V49" s="163"/>
      <c r="W49" s="163"/>
      <c r="X49" s="164"/>
      <c r="Y49" s="150"/>
    </row>
    <row r="50" spans="1:25" ht="24" customHeight="1" x14ac:dyDescent="0.25">
      <c r="A50" s="1193">
        <v>26</v>
      </c>
      <c r="B50" s="1236" t="s">
        <v>2127</v>
      </c>
      <c r="C50" s="1197" t="s">
        <v>2124</v>
      </c>
      <c r="D50" s="1199" t="s">
        <v>1993</v>
      </c>
      <c r="E50" s="1197" t="s">
        <v>2102</v>
      </c>
      <c r="F50" s="1197" t="s">
        <v>2093</v>
      </c>
      <c r="G50" s="165" t="s">
        <v>2094</v>
      </c>
      <c r="H50" s="149"/>
      <c r="I50" s="149"/>
      <c r="J50" s="149"/>
      <c r="K50" s="149"/>
      <c r="L50" s="159"/>
      <c r="M50" s="8"/>
      <c r="N50" s="161">
        <v>1</v>
      </c>
      <c r="O50" s="149"/>
      <c r="P50" s="149"/>
      <c r="Q50" s="149"/>
      <c r="R50" s="149"/>
      <c r="S50" s="328"/>
      <c r="T50" s="163"/>
      <c r="U50" s="163"/>
      <c r="V50" s="163"/>
      <c r="W50" s="163"/>
      <c r="X50" s="164"/>
      <c r="Y50" s="150"/>
    </row>
    <row r="51" spans="1:25" ht="24" customHeight="1" x14ac:dyDescent="0.25">
      <c r="A51" s="1194"/>
      <c r="B51" s="1236"/>
      <c r="C51" s="1197"/>
      <c r="D51" s="1199"/>
      <c r="E51" s="1197"/>
      <c r="F51" s="1197"/>
      <c r="G51" s="166" t="s">
        <v>2095</v>
      </c>
      <c r="H51" s="149"/>
      <c r="I51" s="149"/>
      <c r="J51" s="149"/>
      <c r="K51" s="149"/>
      <c r="L51" s="149"/>
      <c r="M51" s="149"/>
      <c r="N51" s="149"/>
      <c r="O51" s="149"/>
      <c r="P51" s="149"/>
      <c r="Q51" s="149"/>
      <c r="R51" s="149"/>
      <c r="S51" s="328"/>
      <c r="T51" s="163"/>
      <c r="U51" s="163"/>
      <c r="V51" s="163"/>
      <c r="W51" s="163"/>
      <c r="X51" s="164"/>
      <c r="Y51" s="150"/>
    </row>
    <row r="52" spans="1:25" ht="24" customHeight="1" x14ac:dyDescent="0.25">
      <c r="A52" s="1193">
        <v>27</v>
      </c>
      <c r="B52" s="1236" t="s">
        <v>2128</v>
      </c>
      <c r="C52" s="1197" t="s">
        <v>2101</v>
      </c>
      <c r="D52" s="1199" t="s">
        <v>1993</v>
      </c>
      <c r="E52" s="1197" t="s">
        <v>2102</v>
      </c>
      <c r="F52" s="1197" t="s">
        <v>2093</v>
      </c>
      <c r="G52" s="165" t="s">
        <v>2094</v>
      </c>
      <c r="H52" s="149"/>
      <c r="I52" s="149"/>
      <c r="J52" s="149"/>
      <c r="K52" s="149"/>
      <c r="L52" s="149">
        <v>1</v>
      </c>
      <c r="M52" s="149"/>
      <c r="N52" s="149"/>
      <c r="O52" s="149"/>
      <c r="P52" s="149"/>
      <c r="Q52" s="149"/>
      <c r="R52" s="149"/>
      <c r="S52" s="328"/>
      <c r="T52" s="163"/>
      <c r="U52" s="163"/>
      <c r="V52" s="163"/>
      <c r="W52" s="163"/>
      <c r="X52" s="164"/>
      <c r="Y52" s="150"/>
    </row>
    <row r="53" spans="1:25" ht="24" customHeight="1" x14ac:dyDescent="0.25">
      <c r="A53" s="1194"/>
      <c r="B53" s="1236"/>
      <c r="C53" s="1197"/>
      <c r="D53" s="1199"/>
      <c r="E53" s="1197"/>
      <c r="F53" s="1197"/>
      <c r="G53" s="166" t="s">
        <v>2095</v>
      </c>
      <c r="H53" s="149"/>
      <c r="I53" s="149"/>
      <c r="J53" s="149"/>
      <c r="K53" s="149"/>
      <c r="L53" s="149">
        <v>0</v>
      </c>
      <c r="M53" s="149"/>
      <c r="N53" s="149"/>
      <c r="O53" s="149"/>
      <c r="P53" s="149"/>
      <c r="Q53" s="149"/>
      <c r="R53" s="149"/>
      <c r="S53" s="328"/>
      <c r="T53" s="163"/>
      <c r="U53" s="163"/>
      <c r="V53" s="163"/>
      <c r="W53" s="163"/>
      <c r="X53" s="164"/>
      <c r="Y53" s="150"/>
    </row>
    <row r="54" spans="1:25" ht="24" customHeight="1" x14ac:dyDescent="0.25">
      <c r="A54" s="1193">
        <v>28</v>
      </c>
      <c r="B54" s="1236" t="s">
        <v>2129</v>
      </c>
      <c r="C54" s="1197" t="s">
        <v>2101</v>
      </c>
      <c r="D54" s="1199" t="s">
        <v>1993</v>
      </c>
      <c r="E54" s="1197" t="s">
        <v>2102</v>
      </c>
      <c r="F54" s="1197" t="s">
        <v>2093</v>
      </c>
      <c r="G54" s="165" t="s">
        <v>2094</v>
      </c>
      <c r="H54" s="149"/>
      <c r="I54" s="149"/>
      <c r="J54" s="149"/>
      <c r="K54" s="149"/>
      <c r="L54" s="149">
        <v>1</v>
      </c>
      <c r="M54" s="149"/>
      <c r="N54" s="149"/>
      <c r="O54" s="149"/>
      <c r="P54" s="149">
        <v>1</v>
      </c>
      <c r="Q54" s="149"/>
      <c r="R54" s="149"/>
      <c r="S54" s="328"/>
      <c r="T54" s="163"/>
      <c r="U54" s="163"/>
      <c r="V54" s="163"/>
      <c r="W54" s="163"/>
      <c r="X54" s="164"/>
      <c r="Y54" s="150"/>
    </row>
    <row r="55" spans="1:25" ht="24" customHeight="1" x14ac:dyDescent="0.25">
      <c r="A55" s="1194"/>
      <c r="B55" s="1236"/>
      <c r="C55" s="1197"/>
      <c r="D55" s="1199"/>
      <c r="E55" s="1197"/>
      <c r="F55" s="1197"/>
      <c r="G55" s="166" t="s">
        <v>2095</v>
      </c>
      <c r="H55" s="149"/>
      <c r="I55" s="149"/>
      <c r="J55" s="149"/>
      <c r="K55" s="149"/>
      <c r="L55" s="149"/>
      <c r="M55" s="149"/>
      <c r="N55" s="149"/>
      <c r="O55" s="149"/>
      <c r="P55" s="149"/>
      <c r="Q55" s="149"/>
      <c r="R55" s="149"/>
      <c r="S55" s="328"/>
      <c r="T55" s="163"/>
      <c r="U55" s="163"/>
      <c r="V55" s="163"/>
      <c r="W55" s="163"/>
      <c r="X55" s="164"/>
      <c r="Y55" s="150"/>
    </row>
    <row r="56" spans="1:25" ht="24" customHeight="1" x14ac:dyDescent="0.25">
      <c r="A56" s="1193">
        <v>29</v>
      </c>
      <c r="B56" s="1236" t="s">
        <v>2130</v>
      </c>
      <c r="C56" s="1197" t="s">
        <v>2118</v>
      </c>
      <c r="D56" s="1199" t="s">
        <v>1993</v>
      </c>
      <c r="E56" s="1197" t="s">
        <v>2102</v>
      </c>
      <c r="F56" s="1197" t="s">
        <v>2093</v>
      </c>
      <c r="G56" s="165" t="s">
        <v>2094</v>
      </c>
      <c r="H56" s="149"/>
      <c r="I56" s="149"/>
      <c r="J56" s="149"/>
      <c r="K56" s="149"/>
      <c r="L56" s="149"/>
      <c r="M56" s="149"/>
      <c r="N56" s="149"/>
      <c r="O56" s="149">
        <v>1</v>
      </c>
      <c r="P56" s="149"/>
      <c r="Q56" s="149"/>
      <c r="R56" s="149">
        <v>1</v>
      </c>
      <c r="S56" s="328"/>
      <c r="T56" s="163"/>
      <c r="U56" s="163"/>
      <c r="V56" s="163"/>
      <c r="W56" s="163"/>
      <c r="X56" s="164"/>
      <c r="Y56" s="150"/>
    </row>
    <row r="57" spans="1:25" ht="24" customHeight="1" x14ac:dyDescent="0.25">
      <c r="A57" s="1194"/>
      <c r="B57" s="1236"/>
      <c r="C57" s="1197"/>
      <c r="D57" s="1199"/>
      <c r="E57" s="1197"/>
      <c r="F57" s="1197"/>
      <c r="G57" s="166" t="s">
        <v>2095</v>
      </c>
      <c r="H57" s="149"/>
      <c r="I57" s="149"/>
      <c r="J57" s="149"/>
      <c r="K57" s="149"/>
      <c r="L57" s="149">
        <v>1</v>
      </c>
      <c r="M57" s="149"/>
      <c r="N57" s="149"/>
      <c r="O57" s="149">
        <v>1</v>
      </c>
      <c r="P57" s="149"/>
      <c r="Q57" s="149"/>
      <c r="R57" s="149"/>
      <c r="S57" s="328"/>
      <c r="T57" s="163"/>
      <c r="U57" s="163"/>
      <c r="V57" s="163"/>
      <c r="W57" s="163"/>
      <c r="X57" s="164"/>
      <c r="Y57" s="150"/>
    </row>
    <row r="58" spans="1:25" ht="24" customHeight="1" x14ac:dyDescent="0.25">
      <c r="A58" s="1193">
        <v>30</v>
      </c>
      <c r="B58" s="1235" t="s">
        <v>2131</v>
      </c>
      <c r="C58" s="1197" t="s">
        <v>2104</v>
      </c>
      <c r="D58" s="1199" t="s">
        <v>1993</v>
      </c>
      <c r="E58" s="1197" t="s">
        <v>2102</v>
      </c>
      <c r="F58" s="1197" t="s">
        <v>2093</v>
      </c>
      <c r="G58" s="165" t="s">
        <v>2094</v>
      </c>
      <c r="H58" s="149"/>
      <c r="I58" s="149">
        <v>1</v>
      </c>
      <c r="J58" s="149"/>
      <c r="K58" s="149"/>
      <c r="L58" s="149"/>
      <c r="M58" s="149"/>
      <c r="N58" s="149"/>
      <c r="O58" s="149"/>
      <c r="P58" s="149"/>
      <c r="Q58" s="149"/>
      <c r="R58" s="149">
        <v>1</v>
      </c>
      <c r="S58" s="328"/>
      <c r="T58" s="163"/>
      <c r="U58" s="163"/>
      <c r="V58" s="163"/>
      <c r="W58" s="163"/>
      <c r="X58" s="164"/>
      <c r="Y58" s="150"/>
    </row>
    <row r="59" spans="1:25" ht="24" customHeight="1" x14ac:dyDescent="0.25">
      <c r="A59" s="1194"/>
      <c r="B59" s="1235"/>
      <c r="C59" s="1197"/>
      <c r="D59" s="1199"/>
      <c r="E59" s="1197"/>
      <c r="F59" s="1197"/>
      <c r="G59" s="166" t="s">
        <v>2095</v>
      </c>
      <c r="H59" s="149"/>
      <c r="I59" s="149">
        <v>1</v>
      </c>
      <c r="J59" s="149"/>
      <c r="K59" s="149"/>
      <c r="L59" s="149"/>
      <c r="M59" s="149"/>
      <c r="N59" s="149"/>
      <c r="O59" s="149"/>
      <c r="P59" s="149"/>
      <c r="Q59" s="149"/>
      <c r="R59" s="149"/>
      <c r="S59" s="328"/>
      <c r="T59" s="163"/>
      <c r="U59" s="163"/>
      <c r="V59" s="163"/>
      <c r="W59" s="163"/>
      <c r="X59" s="164"/>
      <c r="Y59" s="150"/>
    </row>
    <row r="60" spans="1:25" ht="68.099999999999994" customHeight="1" x14ac:dyDescent="0.25">
      <c r="A60" s="1193">
        <v>31</v>
      </c>
      <c r="B60" s="1240" t="s">
        <v>2132</v>
      </c>
      <c r="C60" s="1197" t="s">
        <v>2118</v>
      </c>
      <c r="D60" s="1199" t="s">
        <v>1993</v>
      </c>
      <c r="E60" s="1197" t="s">
        <v>2102</v>
      </c>
      <c r="F60" s="1197" t="s">
        <v>2093</v>
      </c>
      <c r="G60" s="165" t="s">
        <v>2094</v>
      </c>
      <c r="H60" s="158"/>
      <c r="I60" s="158"/>
      <c r="J60" s="158"/>
      <c r="K60" s="158"/>
      <c r="L60" s="158">
        <v>1</v>
      </c>
      <c r="M60" s="158"/>
      <c r="N60" s="158"/>
      <c r="O60" s="158"/>
      <c r="P60" s="158"/>
      <c r="Q60" s="158"/>
      <c r="R60" s="158">
        <v>1</v>
      </c>
      <c r="S60" s="334"/>
      <c r="T60" s="167"/>
      <c r="U60" s="167"/>
      <c r="V60" s="167"/>
      <c r="W60" s="167"/>
      <c r="X60" s="168"/>
      <c r="Y60" s="150"/>
    </row>
    <row r="61" spans="1:25" ht="48" customHeight="1" x14ac:dyDescent="0.25">
      <c r="A61" s="1194"/>
      <c r="B61" s="1240"/>
      <c r="C61" s="1197"/>
      <c r="D61" s="1199"/>
      <c r="E61" s="1197"/>
      <c r="F61" s="1197"/>
      <c r="G61" s="169" t="s">
        <v>2095</v>
      </c>
      <c r="H61" s="162"/>
      <c r="I61" s="162"/>
      <c r="J61" s="162"/>
      <c r="K61" s="162"/>
      <c r="L61" s="162">
        <v>0</v>
      </c>
      <c r="M61" s="162"/>
      <c r="N61" s="162"/>
      <c r="O61" s="162"/>
      <c r="P61" s="162"/>
      <c r="Q61" s="162"/>
      <c r="R61" s="162"/>
      <c r="S61" s="335"/>
      <c r="T61" s="170"/>
      <c r="U61" s="170"/>
      <c r="V61" s="170"/>
      <c r="W61" s="170"/>
      <c r="X61" s="170"/>
      <c r="Y61" s="150"/>
    </row>
    <row r="62" spans="1:25" ht="33" customHeight="1" x14ac:dyDescent="0.25">
      <c r="A62" s="1193">
        <v>32</v>
      </c>
      <c r="B62" s="1238" t="s">
        <v>2133</v>
      </c>
      <c r="C62" s="1197" t="s">
        <v>2104</v>
      </c>
      <c r="D62" s="1199" t="s">
        <v>1993</v>
      </c>
      <c r="E62" s="1197" t="s">
        <v>2102</v>
      </c>
      <c r="F62" s="1197" t="s">
        <v>2093</v>
      </c>
      <c r="G62" s="165" t="s">
        <v>2094</v>
      </c>
      <c r="H62" s="162"/>
      <c r="I62" s="162"/>
      <c r="J62" s="162"/>
      <c r="K62" s="162"/>
      <c r="L62" s="162">
        <v>1</v>
      </c>
      <c r="M62" s="162"/>
      <c r="N62" s="162"/>
      <c r="O62" s="162"/>
      <c r="P62" s="162"/>
      <c r="Q62" s="162">
        <v>1</v>
      </c>
      <c r="R62" s="162"/>
      <c r="S62" s="335"/>
      <c r="T62" s="170"/>
      <c r="U62" s="170"/>
      <c r="V62" s="170"/>
      <c r="W62" s="170"/>
      <c r="X62" s="170"/>
      <c r="Y62" s="150"/>
    </row>
    <row r="63" spans="1:25" ht="33" customHeight="1" x14ac:dyDescent="0.25">
      <c r="A63" s="1194"/>
      <c r="B63" s="1239"/>
      <c r="C63" s="1197"/>
      <c r="D63" s="1199"/>
      <c r="E63" s="1197"/>
      <c r="F63" s="1197"/>
      <c r="G63" s="169" t="s">
        <v>2095</v>
      </c>
      <c r="H63" s="162"/>
      <c r="I63" s="162"/>
      <c r="J63" s="162"/>
      <c r="K63" s="162"/>
      <c r="L63" s="162">
        <v>0</v>
      </c>
      <c r="M63" s="162"/>
      <c r="N63" s="162"/>
      <c r="O63" s="162"/>
      <c r="P63" s="162"/>
      <c r="Q63" s="162"/>
      <c r="R63" s="162"/>
      <c r="S63" s="335"/>
      <c r="T63" s="170"/>
      <c r="U63" s="170"/>
      <c r="V63" s="170"/>
      <c r="W63" s="170"/>
      <c r="X63" s="170"/>
      <c r="Y63" s="150"/>
    </row>
    <row r="64" spans="1:25" ht="27" customHeight="1" x14ac:dyDescent="0.25">
      <c r="A64" s="1193">
        <v>33</v>
      </c>
      <c r="B64" s="1241" t="s">
        <v>2134</v>
      </c>
      <c r="C64" s="1197" t="s">
        <v>2104</v>
      </c>
      <c r="D64" s="1199" t="s">
        <v>1993</v>
      </c>
      <c r="E64" s="1197" t="s">
        <v>2102</v>
      </c>
      <c r="F64" s="1197" t="s">
        <v>2093</v>
      </c>
      <c r="G64" s="171" t="s">
        <v>2094</v>
      </c>
      <c r="H64" s="335"/>
      <c r="I64" s="335"/>
      <c r="J64" s="335"/>
      <c r="K64" s="335"/>
      <c r="L64" s="335"/>
      <c r="M64" s="335">
        <v>1</v>
      </c>
      <c r="N64" s="335"/>
      <c r="O64" s="335"/>
      <c r="P64" s="335"/>
      <c r="Q64" s="335"/>
      <c r="R64" s="335"/>
      <c r="S64" s="335">
        <v>1</v>
      </c>
      <c r="T64" s="336"/>
      <c r="U64" s="336"/>
      <c r="V64" s="336"/>
      <c r="W64" s="336"/>
      <c r="X64" s="336"/>
      <c r="Y64" s="337"/>
    </row>
    <row r="65" spans="1:25" ht="20.25" customHeight="1" x14ac:dyDescent="0.25">
      <c r="A65" s="1194"/>
      <c r="B65" s="1241"/>
      <c r="C65" s="1197"/>
      <c r="D65" s="1199"/>
      <c r="E65" s="1197"/>
      <c r="F65" s="1197"/>
      <c r="G65" s="169" t="s">
        <v>2095</v>
      </c>
      <c r="H65" s="335"/>
      <c r="I65" s="335"/>
      <c r="J65" s="335"/>
      <c r="K65" s="335"/>
      <c r="L65" s="335"/>
      <c r="M65" s="335">
        <v>0</v>
      </c>
      <c r="N65" s="335"/>
      <c r="O65" s="335"/>
      <c r="P65" s="335"/>
      <c r="Q65" s="335"/>
      <c r="R65" s="335"/>
      <c r="S65" s="335"/>
      <c r="T65" s="336"/>
      <c r="U65" s="336"/>
      <c r="V65" s="336"/>
      <c r="W65" s="336"/>
      <c r="X65" s="336"/>
      <c r="Y65" s="337"/>
    </row>
    <row r="66" spans="1:25" x14ac:dyDescent="0.25">
      <c r="A66" s="172"/>
      <c r="B66" s="338" t="s">
        <v>2000</v>
      </c>
      <c r="C66" s="173"/>
      <c r="D66" s="173"/>
      <c r="E66" s="173"/>
      <c r="F66" s="173"/>
      <c r="G66" s="173"/>
      <c r="H66" s="174">
        <f t="shared" ref="H66:S66" si="0">+SUM(H6:H65)</f>
        <v>4</v>
      </c>
      <c r="I66" s="174">
        <f t="shared" si="0"/>
        <v>2</v>
      </c>
      <c r="J66" s="174">
        <f t="shared" si="0"/>
        <v>1</v>
      </c>
      <c r="K66" s="174">
        <f t="shared" si="0"/>
        <v>1</v>
      </c>
      <c r="L66" s="174">
        <f t="shared" si="0"/>
        <v>11</v>
      </c>
      <c r="M66" s="174">
        <f t="shared" si="0"/>
        <v>11</v>
      </c>
      <c r="N66" s="174">
        <f t="shared" si="0"/>
        <v>8</v>
      </c>
      <c r="O66" s="174">
        <f t="shared" si="0"/>
        <v>9</v>
      </c>
      <c r="P66" s="174">
        <f t="shared" si="0"/>
        <v>7</v>
      </c>
      <c r="Q66" s="174">
        <f t="shared" si="0"/>
        <v>5</v>
      </c>
      <c r="R66" s="174">
        <f t="shared" si="0"/>
        <v>7</v>
      </c>
      <c r="S66" s="174">
        <f t="shared" si="0"/>
        <v>7</v>
      </c>
      <c r="T66" s="176"/>
      <c r="U66" s="177"/>
      <c r="V66" s="177"/>
      <c r="W66" s="177"/>
      <c r="X66" s="177"/>
      <c r="Y66" s="141"/>
    </row>
    <row r="67" spans="1:25" x14ac:dyDescent="0.25">
      <c r="A67" s="1242" t="s">
        <v>2001</v>
      </c>
      <c r="B67" s="1243"/>
      <c r="C67" s="1243"/>
      <c r="D67" s="1243"/>
      <c r="E67" s="1243"/>
      <c r="F67" s="1243"/>
      <c r="G67" s="1244"/>
      <c r="H67" s="178">
        <f>COUNTIF(H6:H61,2)</f>
        <v>0</v>
      </c>
      <c r="I67" s="178">
        <f>COUNTIF(I6:I61,2)</f>
        <v>0</v>
      </c>
      <c r="J67" s="178">
        <f>COUNTIF(J6:J61,2)</f>
        <v>0</v>
      </c>
      <c r="K67" s="178">
        <f>COUNTIF(K6:K61,2)</f>
        <v>0</v>
      </c>
      <c r="L67" s="178">
        <f>COUNTIF(L6:L61,2)</f>
        <v>0</v>
      </c>
      <c r="M67" s="178">
        <f>COUNTIF(M6:M64,2)</f>
        <v>0</v>
      </c>
      <c r="N67" s="178">
        <f t="shared" ref="N67:S67" si="1">COUNTIF(N6:N61,2)</f>
        <v>0</v>
      </c>
      <c r="O67" s="178">
        <f t="shared" si="1"/>
        <v>0</v>
      </c>
      <c r="P67" s="178">
        <f t="shared" si="1"/>
        <v>0</v>
      </c>
      <c r="Q67" s="178">
        <f t="shared" si="1"/>
        <v>0</v>
      </c>
      <c r="R67" s="179">
        <f t="shared" si="1"/>
        <v>0</v>
      </c>
      <c r="S67" s="175">
        <f t="shared" si="1"/>
        <v>0</v>
      </c>
      <c r="T67" s="180"/>
      <c r="U67" s="181"/>
      <c r="V67" s="181"/>
      <c r="W67" s="181"/>
      <c r="X67" s="181"/>
      <c r="Y67" s="141"/>
    </row>
    <row r="68" spans="1:25" x14ac:dyDescent="0.25">
      <c r="A68" s="1242" t="s">
        <v>2002</v>
      </c>
      <c r="B68" s="1243"/>
      <c r="C68" s="1243"/>
      <c r="D68" s="1243"/>
      <c r="E68" s="1243"/>
      <c r="F68" s="1243"/>
      <c r="G68" s="1244"/>
      <c r="H68" s="178">
        <f t="shared" ref="H68:N68" si="2">COUNTIF(H6:H61,3)</f>
        <v>0</v>
      </c>
      <c r="I68" s="178">
        <f t="shared" si="2"/>
        <v>0</v>
      </c>
      <c r="J68" s="178">
        <f t="shared" si="2"/>
        <v>0</v>
      </c>
      <c r="K68" s="178">
        <f t="shared" si="2"/>
        <v>0</v>
      </c>
      <c r="L68" s="178">
        <f t="shared" si="2"/>
        <v>0</v>
      </c>
      <c r="M68" s="178">
        <f t="shared" si="2"/>
        <v>0</v>
      </c>
      <c r="N68" s="178">
        <f t="shared" si="2"/>
        <v>0</v>
      </c>
      <c r="O68" s="178">
        <f>COUNTIF(O14:O61,3)</f>
        <v>0</v>
      </c>
      <c r="P68" s="178">
        <f>COUNTIF(P14:P61,3)</f>
        <v>0</v>
      </c>
      <c r="Q68" s="178">
        <f>COUNTIF(Q14:Q61,3)</f>
        <v>0</v>
      </c>
      <c r="R68" s="179">
        <f>COUNTIF(R14:R61,3)</f>
        <v>0</v>
      </c>
      <c r="S68" s="175">
        <f>COUNTIF(S14:S61,3)</f>
        <v>0</v>
      </c>
      <c r="T68" s="180"/>
      <c r="U68" s="182"/>
      <c r="V68" s="182"/>
      <c r="W68" s="182"/>
      <c r="X68" s="182"/>
      <c r="Y68" s="141"/>
    </row>
    <row r="69" spans="1:25" ht="15.75" thickBot="1" x14ac:dyDescent="0.3">
      <c r="A69" s="1242" t="s">
        <v>2003</v>
      </c>
      <c r="B69" s="1243"/>
      <c r="C69" s="1243"/>
      <c r="D69" s="1243"/>
      <c r="E69" s="1243"/>
      <c r="F69" s="1243"/>
      <c r="G69" s="1244"/>
      <c r="H69" s="183">
        <f t="shared" ref="H69:S69" si="3">IF(H66=0,"N/A",(H67/H66))</f>
        <v>0</v>
      </c>
      <c r="I69" s="183">
        <f t="shared" si="3"/>
        <v>0</v>
      </c>
      <c r="J69" s="183">
        <f t="shared" si="3"/>
        <v>0</v>
      </c>
      <c r="K69" s="183">
        <f t="shared" si="3"/>
        <v>0</v>
      </c>
      <c r="L69" s="183">
        <f t="shared" si="3"/>
        <v>0</v>
      </c>
      <c r="M69" s="183">
        <f t="shared" si="3"/>
        <v>0</v>
      </c>
      <c r="N69" s="183">
        <f t="shared" si="3"/>
        <v>0</v>
      </c>
      <c r="O69" s="183">
        <f t="shared" si="3"/>
        <v>0</v>
      </c>
      <c r="P69" s="183">
        <f t="shared" si="3"/>
        <v>0</v>
      </c>
      <c r="Q69" s="183">
        <f t="shared" si="3"/>
        <v>0</v>
      </c>
      <c r="R69" s="184">
        <f t="shared" si="3"/>
        <v>0</v>
      </c>
      <c r="S69" s="185">
        <f t="shared" si="3"/>
        <v>0</v>
      </c>
      <c r="T69" s="186"/>
      <c r="U69" s="182"/>
      <c r="V69" s="182"/>
      <c r="W69" s="182"/>
      <c r="X69" s="182"/>
      <c r="Y69" s="141"/>
    </row>
    <row r="70" spans="1:25" ht="15.75" thickBot="1" x14ac:dyDescent="0.3">
      <c r="A70" s="187"/>
      <c r="B70" s="188"/>
      <c r="C70" s="189"/>
      <c r="D70" s="189"/>
      <c r="E70" s="189"/>
      <c r="F70" s="189"/>
      <c r="G70" s="187"/>
      <c r="H70" s="1151">
        <f>+H66+I66+J66</f>
        <v>7</v>
      </c>
      <c r="I70" s="1152"/>
      <c r="J70" s="1153"/>
      <c r="K70" s="1154">
        <f>+K66+L66+M66</f>
        <v>23</v>
      </c>
      <c r="L70" s="1155"/>
      <c r="M70" s="1156"/>
      <c r="N70" s="1154">
        <f>+N66+O66+P66</f>
        <v>24</v>
      </c>
      <c r="O70" s="1155"/>
      <c r="P70" s="1156"/>
      <c r="Q70" s="1154">
        <f>+Q66+R66+S66</f>
        <v>19</v>
      </c>
      <c r="R70" s="1155"/>
      <c r="S70" s="1157"/>
      <c r="T70" s="182">
        <f>SUM(H70:S70)</f>
        <v>73</v>
      </c>
      <c r="U70" s="182"/>
      <c r="V70" s="182"/>
      <c r="W70" s="182"/>
      <c r="X70" s="182"/>
      <c r="Y70" s="189"/>
    </row>
    <row r="71" spans="1:25" x14ac:dyDescent="0.25">
      <c r="A71" s="141"/>
      <c r="B71" s="188"/>
      <c r="C71" s="189"/>
      <c r="D71" s="189"/>
      <c r="E71" s="189"/>
      <c r="F71" s="189"/>
      <c r="G71" s="141"/>
      <c r="H71" s="141"/>
      <c r="I71" s="339">
        <f>+H70/53</f>
        <v>0.13207547169811321</v>
      </c>
      <c r="J71" s="339"/>
      <c r="K71" s="339"/>
      <c r="L71" s="339">
        <f>+K70/53</f>
        <v>0.43396226415094341</v>
      </c>
      <c r="M71" s="339"/>
      <c r="N71" s="339"/>
      <c r="O71" s="339">
        <f>+N70/53</f>
        <v>0.45283018867924529</v>
      </c>
      <c r="P71" s="339"/>
      <c r="Q71" s="339"/>
      <c r="R71" s="339">
        <f>+Q70/53</f>
        <v>0.35849056603773582</v>
      </c>
      <c r="S71" s="141"/>
      <c r="T71" s="141"/>
      <c r="U71" s="141"/>
      <c r="V71" s="141"/>
      <c r="W71" s="141"/>
      <c r="X71" s="141"/>
      <c r="Y71" s="141"/>
    </row>
    <row r="72" spans="1:25" x14ac:dyDescent="0.25">
      <c r="A72" s="141"/>
      <c r="B72" s="188"/>
      <c r="C72" s="189"/>
      <c r="D72" s="189"/>
      <c r="E72" s="189"/>
      <c r="F72" s="189"/>
      <c r="G72" s="141"/>
      <c r="H72" s="141"/>
      <c r="I72" s="141"/>
      <c r="J72" s="141"/>
      <c r="K72" s="141"/>
      <c r="L72" s="141"/>
      <c r="M72" s="141"/>
      <c r="N72" s="141"/>
      <c r="O72" s="141"/>
      <c r="P72" s="141"/>
      <c r="Q72" s="141"/>
      <c r="R72" s="141"/>
      <c r="S72" s="141"/>
      <c r="T72" s="141"/>
      <c r="U72" s="141"/>
      <c r="V72" s="141"/>
      <c r="W72" s="141"/>
      <c r="X72" s="141"/>
      <c r="Y72" s="141"/>
    </row>
    <row r="73" spans="1:25" ht="22.5" customHeight="1" x14ac:dyDescent="0.25">
      <c r="A73" s="1158" t="s">
        <v>2135</v>
      </c>
      <c r="B73" s="1159"/>
      <c r="C73" s="1159"/>
      <c r="D73" s="1159"/>
      <c r="E73" s="1162" t="s">
        <v>2136</v>
      </c>
      <c r="F73" s="1162"/>
      <c r="G73" s="1162"/>
      <c r="H73" s="1162"/>
      <c r="I73" s="1163" t="s">
        <v>2137</v>
      </c>
      <c r="J73" s="1164"/>
      <c r="K73" s="1164"/>
      <c r="L73" s="1164"/>
      <c r="M73" s="1164"/>
      <c r="N73" s="1164"/>
      <c r="O73" s="1164"/>
      <c r="P73" s="1165"/>
      <c r="Q73" s="141"/>
      <c r="R73" s="141"/>
      <c r="S73" s="141"/>
      <c r="T73" s="141"/>
      <c r="U73" s="141"/>
      <c r="V73" s="141"/>
      <c r="W73" s="141"/>
      <c r="X73" s="141"/>
      <c r="Y73" s="141"/>
    </row>
    <row r="74" spans="1:25" ht="15.75" thickBot="1" x14ac:dyDescent="0.3">
      <c r="A74" s="1160"/>
      <c r="B74" s="1161"/>
      <c r="C74" s="1161"/>
      <c r="D74" s="1161"/>
      <c r="E74" s="1162"/>
      <c r="F74" s="1162"/>
      <c r="G74" s="1162"/>
      <c r="H74" s="1162"/>
      <c r="I74" s="1166"/>
      <c r="J74" s="1167"/>
      <c r="K74" s="1167"/>
      <c r="L74" s="1167"/>
      <c r="M74" s="1167"/>
      <c r="N74" s="1167"/>
      <c r="O74" s="1167"/>
      <c r="P74" s="1168"/>
      <c r="Q74" s="141"/>
      <c r="R74" s="141"/>
      <c r="S74" s="141"/>
      <c r="T74" s="141"/>
      <c r="U74" s="141"/>
      <c r="V74" s="141"/>
      <c r="W74" s="141"/>
      <c r="X74" s="141"/>
      <c r="Y74" s="141"/>
    </row>
    <row r="75" spans="1:25" x14ac:dyDescent="0.25">
      <c r="A75" s="1169" t="s">
        <v>1995</v>
      </c>
      <c r="B75" s="1170"/>
      <c r="C75" s="190">
        <v>1</v>
      </c>
      <c r="D75" s="191"/>
      <c r="E75" s="192"/>
      <c r="F75" s="192"/>
      <c r="G75" s="193"/>
      <c r="H75" s="193"/>
      <c r="I75" s="194"/>
      <c r="J75" s="194"/>
      <c r="K75" s="194"/>
      <c r="L75" s="194"/>
      <c r="M75" s="194"/>
      <c r="N75" s="194"/>
      <c r="O75" s="194"/>
      <c r="P75" s="195"/>
      <c r="Q75" s="141"/>
      <c r="R75" s="141"/>
      <c r="S75" s="141"/>
      <c r="T75" s="141"/>
      <c r="U75" s="141"/>
      <c r="V75" s="141"/>
      <c r="W75" s="141"/>
      <c r="X75" s="141"/>
      <c r="Y75" s="141"/>
    </row>
    <row r="76" spans="1:25" x14ac:dyDescent="0.25">
      <c r="A76" s="1171" t="s">
        <v>1996</v>
      </c>
      <c r="B76" s="1172"/>
      <c r="C76" s="548">
        <v>2</v>
      </c>
      <c r="D76" s="196"/>
      <c r="E76" s="192"/>
      <c r="F76" s="192"/>
      <c r="G76" s="193"/>
      <c r="H76" s="193"/>
      <c r="I76" s="193"/>
      <c r="J76" s="193"/>
      <c r="K76" s="193"/>
      <c r="L76" s="193"/>
      <c r="M76" s="193"/>
      <c r="N76" s="193"/>
      <c r="O76" s="193"/>
      <c r="P76" s="197"/>
      <c r="Q76" s="141"/>
      <c r="R76" s="141"/>
      <c r="S76" s="141"/>
      <c r="T76" s="141"/>
      <c r="U76" s="141"/>
      <c r="V76" s="141"/>
      <c r="W76" s="141"/>
      <c r="X76" s="141"/>
      <c r="Y76" s="141"/>
    </row>
    <row r="77" spans="1:25" x14ac:dyDescent="0.25">
      <c r="A77" s="1171" t="s">
        <v>2079</v>
      </c>
      <c r="B77" s="1172"/>
      <c r="C77" s="548">
        <v>3</v>
      </c>
      <c r="D77" s="198"/>
      <c r="E77" s="192"/>
      <c r="F77" s="192"/>
      <c r="G77" s="193"/>
      <c r="H77" s="193"/>
      <c r="I77" s="193"/>
      <c r="J77" s="193"/>
      <c r="K77" s="193"/>
      <c r="L77" s="193"/>
      <c r="M77" s="193"/>
      <c r="N77" s="193"/>
      <c r="O77" s="193"/>
      <c r="P77" s="197"/>
      <c r="Q77" s="141"/>
      <c r="R77" s="141"/>
      <c r="S77" s="141"/>
      <c r="T77" s="141"/>
      <c r="U77" s="141"/>
      <c r="V77" s="141"/>
      <c r="W77" s="141"/>
      <c r="X77" s="141"/>
      <c r="Y77" s="141"/>
    </row>
    <row r="78" spans="1:25" x14ac:dyDescent="0.25">
      <c r="A78" s="199"/>
      <c r="B78" s="200"/>
      <c r="C78" s="192"/>
      <c r="D78" s="192"/>
      <c r="E78" s="192"/>
      <c r="F78" s="192"/>
      <c r="G78" s="193"/>
      <c r="H78" s="193"/>
      <c r="I78" s="193"/>
      <c r="J78" s="193"/>
      <c r="K78" s="193"/>
      <c r="L78" s="193"/>
      <c r="M78" s="193"/>
      <c r="N78" s="193"/>
      <c r="O78" s="193"/>
      <c r="P78" s="197"/>
      <c r="Q78" s="141"/>
      <c r="R78" s="141"/>
      <c r="S78" s="141"/>
      <c r="T78" s="141"/>
      <c r="U78" s="141"/>
      <c r="V78" s="141"/>
      <c r="W78" s="141"/>
      <c r="X78" s="141"/>
      <c r="Y78" s="141"/>
    </row>
    <row r="79" spans="1:25" x14ac:dyDescent="0.25">
      <c r="A79" s="199"/>
      <c r="B79" s="200"/>
      <c r="C79" s="192"/>
      <c r="D79" s="192"/>
      <c r="E79" s="192"/>
      <c r="F79" s="192"/>
      <c r="G79" s="193"/>
      <c r="H79" s="193"/>
      <c r="I79" s="193"/>
      <c r="J79" s="193"/>
      <c r="K79" s="193"/>
      <c r="L79" s="193"/>
      <c r="M79" s="193"/>
      <c r="N79" s="193"/>
      <c r="O79" s="193"/>
      <c r="P79" s="197"/>
      <c r="Q79" s="141"/>
      <c r="R79" s="141"/>
      <c r="S79" s="141"/>
      <c r="T79" s="141"/>
      <c r="U79" s="141"/>
      <c r="V79" s="141"/>
      <c r="W79" s="141"/>
      <c r="X79" s="141"/>
      <c r="Y79" s="141"/>
    </row>
    <row r="80" spans="1:25" ht="15.75" thickBot="1" x14ac:dyDescent="0.3">
      <c r="A80" s="201"/>
      <c r="B80" s="202"/>
      <c r="C80" s="203"/>
      <c r="D80" s="203"/>
      <c r="E80" s="203"/>
      <c r="F80" s="203"/>
      <c r="G80" s="204"/>
      <c r="H80" s="204"/>
      <c r="I80" s="204"/>
      <c r="J80" s="204"/>
      <c r="K80" s="204"/>
      <c r="L80" s="204"/>
      <c r="M80" s="204"/>
      <c r="N80" s="204"/>
      <c r="O80" s="204"/>
      <c r="P80" s="205"/>
      <c r="Q80" s="141"/>
      <c r="R80" s="141"/>
      <c r="S80" s="141"/>
      <c r="T80" s="141"/>
      <c r="U80" s="141"/>
      <c r="V80" s="141"/>
      <c r="W80" s="141"/>
      <c r="X80" s="141"/>
      <c r="Y80" s="141"/>
    </row>
    <row r="81" spans="1:25" x14ac:dyDescent="0.25">
      <c r="A81" s="1009" t="s">
        <v>2011</v>
      </c>
      <c r="B81" s="1010"/>
      <c r="C81" s="1010"/>
      <c r="D81" s="1010"/>
      <c r="E81" s="1010"/>
      <c r="F81" s="1010"/>
      <c r="G81" s="1010"/>
      <c r="H81" s="1010"/>
      <c r="I81" s="1010"/>
      <c r="J81" s="1010"/>
      <c r="K81" s="1010"/>
      <c r="L81" s="1010"/>
      <c r="M81" s="1010"/>
      <c r="N81" s="1010"/>
      <c r="O81" s="1010"/>
      <c r="P81" s="1010"/>
      <c r="Q81" s="1010"/>
      <c r="R81" s="1010"/>
      <c r="S81" s="1010"/>
      <c r="T81" s="1008"/>
      <c r="U81" s="1008"/>
      <c r="V81" s="1008"/>
      <c r="W81" s="141"/>
      <c r="X81" s="141"/>
      <c r="Y81" s="141"/>
    </row>
    <row r="82" spans="1:25" x14ac:dyDescent="0.25">
      <c r="A82" s="1011"/>
      <c r="B82" s="1012"/>
      <c r="C82" s="1012"/>
      <c r="D82" s="1012"/>
      <c r="E82" s="1012"/>
      <c r="F82" s="1012"/>
      <c r="G82" s="1012"/>
      <c r="H82" s="1012"/>
      <c r="I82" s="1012"/>
      <c r="J82" s="1012"/>
      <c r="K82" s="1012"/>
      <c r="L82" s="1012"/>
      <c r="M82" s="1012"/>
      <c r="N82" s="1012"/>
      <c r="O82" s="1012"/>
      <c r="P82" s="1012"/>
      <c r="Q82" s="1012"/>
      <c r="R82" s="1012"/>
      <c r="S82" s="1012"/>
      <c r="T82" s="1008"/>
      <c r="U82" s="1008"/>
      <c r="V82" s="1008"/>
      <c r="W82" s="141"/>
      <c r="X82" s="141"/>
      <c r="Y82" s="141"/>
    </row>
    <row r="83" spans="1:25" x14ac:dyDescent="0.25">
      <c r="A83" s="1013"/>
      <c r="B83" s="1014"/>
      <c r="C83" s="1014"/>
      <c r="D83" s="1014"/>
      <c r="E83" s="1014"/>
      <c r="F83" s="1014"/>
      <c r="G83" s="1014"/>
      <c r="H83" s="1014"/>
      <c r="I83" s="1014"/>
      <c r="J83" s="1014"/>
      <c r="K83" s="1014"/>
      <c r="L83" s="1014"/>
      <c r="M83" s="1014"/>
      <c r="N83" s="1014"/>
      <c r="O83" s="1014"/>
      <c r="P83" s="1014"/>
      <c r="Q83" s="1014"/>
      <c r="R83" s="1014"/>
      <c r="S83" s="1014"/>
      <c r="T83" s="1008"/>
      <c r="U83" s="1008"/>
      <c r="V83" s="1008"/>
    </row>
    <row r="84" spans="1:25" x14ac:dyDescent="0.25">
      <c r="A84" s="1013"/>
      <c r="B84" s="1014"/>
      <c r="C84" s="1014"/>
      <c r="D84" s="1014"/>
      <c r="E84" s="1014"/>
      <c r="F84" s="1014"/>
      <c r="G84" s="1014"/>
      <c r="H84" s="1014"/>
      <c r="I84" s="1014"/>
      <c r="J84" s="1014"/>
      <c r="K84" s="1014"/>
      <c r="L84" s="1014"/>
      <c r="M84" s="1014"/>
      <c r="N84" s="1014"/>
      <c r="O84" s="1014"/>
      <c r="P84" s="1014"/>
      <c r="Q84" s="1014"/>
      <c r="R84" s="1014"/>
      <c r="S84" s="1014"/>
      <c r="T84" s="1008"/>
      <c r="U84" s="1008"/>
      <c r="V84" s="1008"/>
    </row>
    <row r="85" spans="1:25" x14ac:dyDescent="0.25">
      <c r="A85" s="1013"/>
      <c r="B85" s="1014"/>
      <c r="C85" s="1014"/>
      <c r="D85" s="1014"/>
      <c r="E85" s="1014"/>
      <c r="F85" s="1014"/>
      <c r="G85" s="1014"/>
      <c r="H85" s="1014"/>
      <c r="I85" s="1014"/>
      <c r="J85" s="1014"/>
      <c r="K85" s="1014"/>
      <c r="L85" s="1014"/>
      <c r="M85" s="1014"/>
      <c r="N85" s="1014"/>
      <c r="O85" s="1014"/>
      <c r="P85" s="1014"/>
      <c r="Q85" s="1014"/>
      <c r="R85" s="1014"/>
      <c r="S85" s="1014"/>
      <c r="T85" s="1008"/>
      <c r="U85" s="1008"/>
      <c r="V85" s="1008"/>
    </row>
    <row r="86" spans="1:25" x14ac:dyDescent="0.25">
      <c r="A86" s="1013"/>
      <c r="B86" s="1014"/>
      <c r="C86" s="1014"/>
      <c r="D86" s="1014"/>
      <c r="E86" s="1014"/>
      <c r="F86" s="1014"/>
      <c r="G86" s="1014"/>
      <c r="H86" s="1014"/>
      <c r="I86" s="1014"/>
      <c r="J86" s="1014"/>
      <c r="K86" s="1014"/>
      <c r="L86" s="1014"/>
      <c r="M86" s="1014"/>
      <c r="N86" s="1014"/>
      <c r="O86" s="1014"/>
      <c r="P86" s="1014"/>
      <c r="Q86" s="1014"/>
      <c r="R86" s="1014"/>
      <c r="S86" s="1014"/>
      <c r="T86" s="1008"/>
      <c r="U86" s="1008"/>
      <c r="V86" s="1008"/>
    </row>
    <row r="87" spans="1:25" x14ac:dyDescent="0.25">
      <c r="A87" s="1013"/>
      <c r="B87" s="1014"/>
      <c r="C87" s="1014"/>
      <c r="D87" s="1014"/>
      <c r="E87" s="1014"/>
      <c r="F87" s="1014"/>
      <c r="G87" s="1014"/>
      <c r="H87" s="1014"/>
      <c r="I87" s="1014"/>
      <c r="J87" s="1014"/>
      <c r="K87" s="1014"/>
      <c r="L87" s="1014"/>
      <c r="M87" s="1014"/>
      <c r="N87" s="1014"/>
      <c r="O87" s="1014"/>
      <c r="P87" s="1014"/>
      <c r="Q87" s="1014"/>
      <c r="R87" s="1014"/>
      <c r="S87" s="1014"/>
      <c r="T87" s="1008"/>
      <c r="U87" s="1008"/>
      <c r="V87" s="1008"/>
    </row>
    <row r="88" spans="1:25" x14ac:dyDescent="0.25">
      <c r="A88" s="1013"/>
      <c r="B88" s="1014"/>
      <c r="C88" s="1014"/>
      <c r="D88" s="1014"/>
      <c r="E88" s="1014"/>
      <c r="F88" s="1014"/>
      <c r="G88" s="1014"/>
      <c r="H88" s="1014"/>
      <c r="I88" s="1014"/>
      <c r="J88" s="1014"/>
      <c r="K88" s="1014"/>
      <c r="L88" s="1014"/>
      <c r="M88" s="1014"/>
      <c r="N88" s="1014"/>
      <c r="O88" s="1014"/>
      <c r="P88" s="1014"/>
      <c r="Q88" s="1014"/>
      <c r="R88" s="1014"/>
      <c r="S88" s="1014"/>
      <c r="T88" s="1008"/>
      <c r="U88" s="1008"/>
      <c r="V88" s="1008"/>
    </row>
    <row r="89" spans="1:25" ht="15.75" thickBot="1" x14ac:dyDescent="0.3">
      <c r="A89" s="1015"/>
      <c r="B89" s="1015"/>
      <c r="C89" s="1015"/>
      <c r="D89" s="1015"/>
      <c r="E89" s="1015"/>
      <c r="F89" s="1015"/>
      <c r="G89" s="1015"/>
      <c r="H89" s="1015"/>
      <c r="I89" s="1015"/>
      <c r="J89" s="1015"/>
      <c r="K89" s="1015"/>
      <c r="L89" s="1015"/>
      <c r="M89" s="1015"/>
      <c r="N89" s="1015"/>
      <c r="O89" s="1015"/>
      <c r="P89" s="1015"/>
      <c r="Q89" s="1015"/>
      <c r="R89" s="1015"/>
      <c r="S89" s="1015"/>
      <c r="T89" s="1015"/>
      <c r="U89" s="1015"/>
      <c r="V89" s="1015"/>
    </row>
    <row r="90" spans="1:25" ht="15.75" thickBot="1" x14ac:dyDescent="0.3">
      <c r="A90" s="1016" t="s">
        <v>2012</v>
      </c>
      <c r="B90" s="1017"/>
      <c r="C90" s="1017"/>
      <c r="D90" s="1017"/>
      <c r="E90" s="1017"/>
      <c r="F90" s="1017"/>
      <c r="G90" s="1017"/>
      <c r="H90" s="1017"/>
      <c r="I90" s="1017"/>
      <c r="J90" s="1017"/>
      <c r="K90" s="74"/>
      <c r="L90" s="74"/>
      <c r="M90" s="74"/>
      <c r="N90" s="74"/>
      <c r="O90" s="74"/>
      <c r="P90" s="74"/>
      <c r="Q90" s="74"/>
      <c r="R90" s="74"/>
      <c r="S90" s="74"/>
      <c r="T90" s="75"/>
      <c r="U90" s="75"/>
      <c r="V90" s="75"/>
    </row>
    <row r="91" spans="1:25" x14ac:dyDescent="0.25">
      <c r="A91" s="996"/>
      <c r="B91" s="997"/>
      <c r="C91" s="997"/>
      <c r="D91" s="997"/>
      <c r="E91" s="997"/>
      <c r="F91" s="997"/>
      <c r="G91" s="997"/>
      <c r="H91" s="997"/>
      <c r="I91" s="997"/>
      <c r="J91" s="997"/>
      <c r="K91" s="74"/>
      <c r="L91" s="74"/>
      <c r="M91" s="74"/>
      <c r="N91" s="74"/>
      <c r="O91" s="74"/>
      <c r="P91" s="74"/>
      <c r="Q91" s="74"/>
      <c r="R91" s="74"/>
      <c r="S91" s="74"/>
      <c r="T91" s="75"/>
      <c r="U91" s="75"/>
      <c r="V91" s="75"/>
    </row>
    <row r="92" spans="1:25" x14ac:dyDescent="0.25">
      <c r="A92" s="998"/>
      <c r="B92" s="999"/>
      <c r="C92" s="999"/>
      <c r="D92" s="999"/>
      <c r="E92" s="999"/>
      <c r="F92" s="999"/>
      <c r="G92" s="999"/>
      <c r="H92" s="999"/>
      <c r="I92" s="999"/>
      <c r="J92" s="999"/>
      <c r="K92" s="75"/>
      <c r="L92" s="75"/>
      <c r="M92" s="75"/>
      <c r="N92" s="75"/>
      <c r="O92" s="75"/>
      <c r="P92" s="75"/>
      <c r="Q92" s="75"/>
      <c r="R92" s="75"/>
      <c r="S92" s="75"/>
      <c r="T92" s="75"/>
      <c r="U92" s="75"/>
      <c r="V92" s="75"/>
    </row>
    <row r="93" spans="1:25" x14ac:dyDescent="0.25">
      <c r="A93" s="998"/>
      <c r="B93" s="999"/>
      <c r="C93" s="999"/>
      <c r="D93" s="999"/>
      <c r="E93" s="999"/>
      <c r="F93" s="999"/>
      <c r="G93" s="999"/>
      <c r="H93" s="999"/>
      <c r="I93" s="999"/>
      <c r="J93" s="999"/>
      <c r="K93" s="75"/>
      <c r="L93" s="75"/>
      <c r="M93" s="75"/>
      <c r="N93" s="75"/>
      <c r="O93" s="75"/>
      <c r="P93" s="75"/>
      <c r="Q93" s="75"/>
      <c r="R93" s="75"/>
      <c r="S93" s="75"/>
      <c r="T93" s="75"/>
      <c r="U93" s="75"/>
      <c r="V93" s="75"/>
    </row>
    <row r="94" spans="1:25" x14ac:dyDescent="0.25">
      <c r="A94" s="998"/>
      <c r="B94" s="999"/>
      <c r="C94" s="999"/>
      <c r="D94" s="999"/>
      <c r="E94" s="999"/>
      <c r="F94" s="999"/>
      <c r="G94" s="999"/>
      <c r="H94" s="999"/>
      <c r="I94" s="999"/>
      <c r="J94" s="999"/>
      <c r="K94" s="75"/>
      <c r="L94" s="75"/>
      <c r="M94" s="75"/>
      <c r="N94" s="75"/>
      <c r="O94" s="75"/>
      <c r="P94" s="75"/>
      <c r="Q94" s="75"/>
      <c r="R94" s="75"/>
      <c r="S94" s="75"/>
      <c r="T94" s="75"/>
      <c r="U94" s="75"/>
      <c r="V94" s="75"/>
    </row>
    <row r="95" spans="1:25" x14ac:dyDescent="0.25">
      <c r="A95" s="998"/>
      <c r="B95" s="999"/>
      <c r="C95" s="999"/>
      <c r="D95" s="999"/>
      <c r="E95" s="999"/>
      <c r="F95" s="999"/>
      <c r="G95" s="999"/>
      <c r="H95" s="999"/>
      <c r="I95" s="999"/>
      <c r="J95" s="999"/>
      <c r="K95" s="75"/>
      <c r="L95" s="75"/>
      <c r="M95" s="75"/>
      <c r="N95" s="75"/>
      <c r="O95" s="75"/>
      <c r="P95" s="75"/>
      <c r="Q95" s="75"/>
      <c r="R95" s="75"/>
      <c r="S95" s="75"/>
      <c r="T95" s="75"/>
      <c r="U95" s="75"/>
      <c r="V95" s="75"/>
    </row>
    <row r="96" spans="1:25" x14ac:dyDescent="0.25">
      <c r="A96" s="998"/>
      <c r="B96" s="999"/>
      <c r="C96" s="999"/>
      <c r="D96" s="999"/>
      <c r="E96" s="999"/>
      <c r="F96" s="999"/>
      <c r="G96" s="999"/>
      <c r="H96" s="999"/>
      <c r="I96" s="999"/>
      <c r="J96" s="999"/>
      <c r="K96" s="75"/>
      <c r="L96" s="75"/>
      <c r="M96" s="75"/>
      <c r="N96" s="1002" t="s">
        <v>2013</v>
      </c>
      <c r="O96" s="1002"/>
      <c r="P96" s="1003"/>
      <c r="Q96" s="1003"/>
      <c r="R96" s="1003"/>
      <c r="S96" s="1003"/>
      <c r="T96" s="75"/>
      <c r="U96" s="75"/>
      <c r="V96" s="75"/>
    </row>
    <row r="97" spans="1:22" x14ac:dyDescent="0.25">
      <c r="A97" s="998"/>
      <c r="B97" s="999"/>
      <c r="C97" s="999"/>
      <c r="D97" s="999"/>
      <c r="E97" s="999"/>
      <c r="F97" s="999"/>
      <c r="G97" s="999"/>
      <c r="H97" s="999"/>
      <c r="I97" s="999"/>
      <c r="J97" s="999"/>
      <c r="K97" s="75"/>
      <c r="L97" s="75"/>
      <c r="M97" s="75"/>
      <c r="N97" s="75"/>
      <c r="O97" s="75"/>
      <c r="P97" s="75"/>
      <c r="Q97" s="75"/>
      <c r="R97" s="75"/>
      <c r="S97" s="75"/>
      <c r="T97" s="75"/>
      <c r="U97" s="75"/>
      <c r="V97" s="75"/>
    </row>
    <row r="98" spans="1:22" x14ac:dyDescent="0.25">
      <c r="A98" s="998"/>
      <c r="B98" s="999"/>
      <c r="C98" s="999"/>
      <c r="D98" s="999"/>
      <c r="E98" s="999"/>
      <c r="F98" s="999"/>
      <c r="G98" s="999"/>
      <c r="H98" s="999"/>
      <c r="I98" s="999"/>
      <c r="J98" s="999"/>
      <c r="K98" s="75"/>
      <c r="L98" s="75"/>
      <c r="M98" s="75"/>
      <c r="N98" s="75"/>
      <c r="O98" s="75"/>
      <c r="P98" s="75"/>
      <c r="Q98" s="75"/>
      <c r="R98" s="75"/>
      <c r="S98" s="75"/>
      <c r="T98" s="75"/>
      <c r="U98" s="75"/>
      <c r="V98" s="75"/>
    </row>
    <row r="99" spans="1:22" x14ac:dyDescent="0.25">
      <c r="A99" s="998"/>
      <c r="B99" s="999"/>
      <c r="C99" s="999"/>
      <c r="D99" s="999"/>
      <c r="E99" s="999"/>
      <c r="F99" s="999"/>
      <c r="G99" s="999"/>
      <c r="H99" s="999"/>
      <c r="I99" s="999"/>
      <c r="J99" s="999"/>
      <c r="K99" s="75"/>
      <c r="L99" s="75"/>
      <c r="M99" s="75"/>
      <c r="N99" s="75"/>
      <c r="O99" s="75"/>
      <c r="P99" s="75"/>
      <c r="Q99" s="75"/>
      <c r="R99" s="75"/>
      <c r="S99" s="75"/>
      <c r="T99" s="75"/>
      <c r="U99" s="75"/>
      <c r="V99" s="75"/>
    </row>
    <row r="100" spans="1:22" x14ac:dyDescent="0.25">
      <c r="A100" s="998"/>
      <c r="B100" s="999"/>
      <c r="C100" s="999"/>
      <c r="D100" s="999"/>
      <c r="E100" s="999"/>
      <c r="F100" s="999"/>
      <c r="G100" s="999"/>
      <c r="H100" s="999"/>
      <c r="I100" s="999"/>
      <c r="J100" s="999"/>
      <c r="K100" s="75"/>
      <c r="L100" s="75"/>
      <c r="M100" s="75"/>
      <c r="N100" s="75"/>
      <c r="O100" s="75"/>
      <c r="P100" s="75"/>
      <c r="Q100" s="75"/>
      <c r="R100" s="75"/>
      <c r="S100" s="75"/>
      <c r="T100" s="75"/>
      <c r="U100" s="75"/>
      <c r="V100" s="75"/>
    </row>
    <row r="101" spans="1:22" x14ac:dyDescent="0.25">
      <c r="A101" s="998"/>
      <c r="B101" s="999"/>
      <c r="C101" s="999"/>
      <c r="D101" s="999"/>
      <c r="E101" s="999"/>
      <c r="F101" s="999"/>
      <c r="G101" s="999"/>
      <c r="H101" s="999"/>
      <c r="I101" s="999"/>
      <c r="J101" s="999"/>
      <c r="K101" s="75"/>
      <c r="L101" s="75"/>
      <c r="M101" s="75"/>
      <c r="N101" s="75"/>
      <c r="O101" s="75"/>
      <c r="P101" s="75"/>
      <c r="Q101" s="75"/>
      <c r="R101" s="75"/>
      <c r="S101" s="75"/>
      <c r="T101" s="75"/>
      <c r="U101" s="75"/>
      <c r="V101" s="75"/>
    </row>
    <row r="102" spans="1:22" x14ac:dyDescent="0.25">
      <c r="A102" s="998"/>
      <c r="B102" s="999"/>
      <c r="C102" s="999"/>
      <c r="D102" s="999"/>
      <c r="E102" s="999"/>
      <c r="F102" s="999"/>
      <c r="G102" s="999"/>
      <c r="H102" s="999"/>
      <c r="I102" s="999"/>
      <c r="J102" s="999"/>
      <c r="K102" s="75"/>
      <c r="L102" s="75"/>
      <c r="M102" s="75"/>
      <c r="N102" s="75"/>
      <c r="O102" s="75"/>
      <c r="P102" s="75"/>
      <c r="Q102" s="75"/>
      <c r="R102" s="75"/>
      <c r="S102" s="75"/>
      <c r="T102" s="75"/>
      <c r="U102" s="75"/>
      <c r="V102" s="75"/>
    </row>
    <row r="103" spans="1:22" x14ac:dyDescent="0.25">
      <c r="A103" s="998"/>
      <c r="B103" s="999"/>
      <c r="C103" s="999"/>
      <c r="D103" s="999"/>
      <c r="E103" s="999"/>
      <c r="F103" s="999"/>
      <c r="G103" s="999"/>
      <c r="H103" s="999"/>
      <c r="I103" s="999"/>
      <c r="J103" s="999"/>
      <c r="K103" s="75"/>
      <c r="L103" s="75"/>
      <c r="M103" s="75"/>
      <c r="N103" s="75"/>
      <c r="O103" s="75"/>
      <c r="P103" s="75"/>
      <c r="Q103" s="75"/>
      <c r="R103" s="75"/>
      <c r="S103" s="75"/>
      <c r="T103" s="75"/>
      <c r="U103" s="75"/>
      <c r="V103" s="75"/>
    </row>
    <row r="104" spans="1:22" x14ac:dyDescent="0.25">
      <c r="A104" s="998"/>
      <c r="B104" s="999"/>
      <c r="C104" s="999"/>
      <c r="D104" s="999"/>
      <c r="E104" s="999"/>
      <c r="F104" s="999"/>
      <c r="G104" s="999"/>
      <c r="H104" s="999"/>
      <c r="I104" s="999"/>
      <c r="J104" s="999"/>
      <c r="K104" s="75"/>
      <c r="L104" s="75"/>
      <c r="M104" s="75"/>
      <c r="N104" s="75"/>
      <c r="O104" s="75"/>
      <c r="P104" s="75"/>
      <c r="Q104" s="75"/>
      <c r="R104" s="75"/>
      <c r="S104" s="75"/>
      <c r="T104" s="75"/>
      <c r="U104" s="75"/>
      <c r="V104" s="75"/>
    </row>
    <row r="105" spans="1:22" x14ac:dyDescent="0.25">
      <c r="A105" s="998"/>
      <c r="B105" s="999"/>
      <c r="C105" s="999"/>
      <c r="D105" s="999"/>
      <c r="E105" s="999"/>
      <c r="F105" s="999"/>
      <c r="G105" s="999"/>
      <c r="H105" s="999"/>
      <c r="I105" s="999"/>
      <c r="J105" s="999"/>
      <c r="K105" s="75"/>
      <c r="L105" s="75"/>
      <c r="M105" s="75"/>
      <c r="N105" s="75"/>
      <c r="O105" s="75"/>
      <c r="P105" s="75"/>
      <c r="Q105" s="75"/>
      <c r="R105" s="75"/>
      <c r="S105" s="75"/>
      <c r="T105" s="75"/>
      <c r="U105" s="75"/>
      <c r="V105" s="75"/>
    </row>
    <row r="106" spans="1:22" x14ac:dyDescent="0.25">
      <c r="A106" s="998"/>
      <c r="B106" s="999"/>
      <c r="C106" s="999"/>
      <c r="D106" s="999"/>
      <c r="E106" s="999"/>
      <c r="F106" s="999"/>
      <c r="G106" s="999"/>
      <c r="H106" s="999"/>
      <c r="I106" s="999"/>
      <c r="J106" s="999"/>
      <c r="K106" s="75"/>
      <c r="L106" s="75"/>
      <c r="M106" s="75"/>
      <c r="N106" s="75"/>
      <c r="O106" s="75"/>
      <c r="P106" s="75"/>
      <c r="Q106" s="75"/>
      <c r="R106" s="75"/>
      <c r="S106" s="75"/>
      <c r="T106" s="75"/>
      <c r="U106" s="75"/>
      <c r="V106" s="75"/>
    </row>
    <row r="107" spans="1:22" x14ac:dyDescent="0.25">
      <c r="A107" s="1000"/>
      <c r="B107" s="1001"/>
      <c r="C107" s="1001"/>
      <c r="D107" s="1001"/>
      <c r="E107" s="1001"/>
      <c r="F107" s="1001"/>
      <c r="G107" s="1001"/>
      <c r="H107" s="1001"/>
      <c r="I107" s="1001"/>
      <c r="J107" s="1001"/>
      <c r="K107" s="75"/>
      <c r="L107" s="75"/>
      <c r="M107" s="75"/>
      <c r="N107" s="75"/>
      <c r="O107" s="75"/>
      <c r="P107" s="75"/>
      <c r="Q107" s="75"/>
      <c r="R107" s="75"/>
      <c r="S107" s="75"/>
      <c r="T107" s="75"/>
      <c r="U107" s="75"/>
      <c r="V107" s="75"/>
    </row>
  </sheetData>
  <mergeCells count="217">
    <mergeCell ref="A77:B77"/>
    <mergeCell ref="A81:S82"/>
    <mergeCell ref="T81:V88"/>
    <mergeCell ref="A83:S88"/>
    <mergeCell ref="A89:V89"/>
    <mergeCell ref="A90:J90"/>
    <mergeCell ref="A91:J107"/>
    <mergeCell ref="N96:O96"/>
    <mergeCell ref="P96:S96"/>
    <mergeCell ref="A64:A65"/>
    <mergeCell ref="B64:B65"/>
    <mergeCell ref="C64:C65"/>
    <mergeCell ref="D64:D65"/>
    <mergeCell ref="E64:E65"/>
    <mergeCell ref="F64:F65"/>
    <mergeCell ref="A67:G67"/>
    <mergeCell ref="A68:G68"/>
    <mergeCell ref="A69:G69"/>
    <mergeCell ref="A62:A63"/>
    <mergeCell ref="B62:B63"/>
    <mergeCell ref="C62:C63"/>
    <mergeCell ref="D62:D63"/>
    <mergeCell ref="E62:E63"/>
    <mergeCell ref="F62:F63"/>
    <mergeCell ref="A60:A61"/>
    <mergeCell ref="B60:B61"/>
    <mergeCell ref="C60:C61"/>
    <mergeCell ref="D60:D61"/>
    <mergeCell ref="E60:E61"/>
    <mergeCell ref="F60:F61"/>
    <mergeCell ref="A58:A59"/>
    <mergeCell ref="B58:B59"/>
    <mergeCell ref="C58:C59"/>
    <mergeCell ref="D58:D59"/>
    <mergeCell ref="E58:E59"/>
    <mergeCell ref="F58:F59"/>
    <mergeCell ref="A56:A57"/>
    <mergeCell ref="B56:B57"/>
    <mergeCell ref="C56:C57"/>
    <mergeCell ref="D56:D57"/>
    <mergeCell ref="E56:E57"/>
    <mergeCell ref="F56:F57"/>
    <mergeCell ref="A54:A55"/>
    <mergeCell ref="B54:B55"/>
    <mergeCell ref="C54:C55"/>
    <mergeCell ref="D54:D55"/>
    <mergeCell ref="E54:E55"/>
    <mergeCell ref="F54:F55"/>
    <mergeCell ref="A52:A53"/>
    <mergeCell ref="B52:B53"/>
    <mergeCell ref="C52:C53"/>
    <mergeCell ref="D52:D53"/>
    <mergeCell ref="E52:E53"/>
    <mergeCell ref="F52:F53"/>
    <mergeCell ref="A50:A51"/>
    <mergeCell ref="B50:B51"/>
    <mergeCell ref="C50:C51"/>
    <mergeCell ref="D50:D51"/>
    <mergeCell ref="E50:E51"/>
    <mergeCell ref="F50:F51"/>
    <mergeCell ref="A48:A49"/>
    <mergeCell ref="B48:B49"/>
    <mergeCell ref="C48:C49"/>
    <mergeCell ref="D48:D49"/>
    <mergeCell ref="E48:E49"/>
    <mergeCell ref="F48:F49"/>
    <mergeCell ref="A46:A47"/>
    <mergeCell ref="B46:B47"/>
    <mergeCell ref="C46:C47"/>
    <mergeCell ref="D46:D47"/>
    <mergeCell ref="E46:E47"/>
    <mergeCell ref="F46:F47"/>
    <mergeCell ref="A44:A45"/>
    <mergeCell ref="B44:B45"/>
    <mergeCell ref="C44:C45"/>
    <mergeCell ref="D44:D45"/>
    <mergeCell ref="E44:E45"/>
    <mergeCell ref="F44:F45"/>
    <mergeCell ref="A42:A43"/>
    <mergeCell ref="B42:B43"/>
    <mergeCell ref="C42:C43"/>
    <mergeCell ref="D42:D43"/>
    <mergeCell ref="E42:E43"/>
    <mergeCell ref="F42:F43"/>
    <mergeCell ref="A40:A41"/>
    <mergeCell ref="B40:B41"/>
    <mergeCell ref="C40:C41"/>
    <mergeCell ref="D40:D41"/>
    <mergeCell ref="E40:E41"/>
    <mergeCell ref="F40:F41"/>
    <mergeCell ref="A38:A39"/>
    <mergeCell ref="B38:B39"/>
    <mergeCell ref="C38:C39"/>
    <mergeCell ref="D38:D39"/>
    <mergeCell ref="E38:E39"/>
    <mergeCell ref="F38:F39"/>
    <mergeCell ref="A36:A37"/>
    <mergeCell ref="B36:B37"/>
    <mergeCell ref="C36:C37"/>
    <mergeCell ref="D36:D37"/>
    <mergeCell ref="E36:E37"/>
    <mergeCell ref="F36:F37"/>
    <mergeCell ref="A34:A35"/>
    <mergeCell ref="B34:B35"/>
    <mergeCell ref="C34:C35"/>
    <mergeCell ref="D34:D35"/>
    <mergeCell ref="E34:E35"/>
    <mergeCell ref="F34:F35"/>
    <mergeCell ref="A32:A33"/>
    <mergeCell ref="B32:B33"/>
    <mergeCell ref="C32:C33"/>
    <mergeCell ref="D32:D33"/>
    <mergeCell ref="E32:E33"/>
    <mergeCell ref="F32:F33"/>
    <mergeCell ref="A30:A31"/>
    <mergeCell ref="B30:B31"/>
    <mergeCell ref="C30:C31"/>
    <mergeCell ref="D30:D31"/>
    <mergeCell ref="E30:E31"/>
    <mergeCell ref="F30:F31"/>
    <mergeCell ref="A28:A29"/>
    <mergeCell ref="B28:B29"/>
    <mergeCell ref="C28:C29"/>
    <mergeCell ref="D28:D29"/>
    <mergeCell ref="E28:E29"/>
    <mergeCell ref="F28:F29"/>
    <mergeCell ref="A26:A27"/>
    <mergeCell ref="B26:B27"/>
    <mergeCell ref="C26:C27"/>
    <mergeCell ref="D26:D27"/>
    <mergeCell ref="E26:E27"/>
    <mergeCell ref="F26:F27"/>
    <mergeCell ref="A24:A25"/>
    <mergeCell ref="B24:B25"/>
    <mergeCell ref="C24:C25"/>
    <mergeCell ref="D24:D25"/>
    <mergeCell ref="E24:E25"/>
    <mergeCell ref="F24:F25"/>
    <mergeCell ref="A22:A23"/>
    <mergeCell ref="B22:B23"/>
    <mergeCell ref="C22:C23"/>
    <mergeCell ref="D22:D23"/>
    <mergeCell ref="E22:E23"/>
    <mergeCell ref="F22:F23"/>
    <mergeCell ref="A20:A21"/>
    <mergeCell ref="B20:B21"/>
    <mergeCell ref="C20:C21"/>
    <mergeCell ref="D20:D21"/>
    <mergeCell ref="E20:E21"/>
    <mergeCell ref="F20:F21"/>
    <mergeCell ref="A18:A19"/>
    <mergeCell ref="B18:B19"/>
    <mergeCell ref="C18:C19"/>
    <mergeCell ref="D18:D19"/>
    <mergeCell ref="E18:E19"/>
    <mergeCell ref="F18:F19"/>
    <mergeCell ref="V14:V15"/>
    <mergeCell ref="W14:W15"/>
    <mergeCell ref="X14:X15"/>
    <mergeCell ref="A16:A17"/>
    <mergeCell ref="B16:B17"/>
    <mergeCell ref="C16:C17"/>
    <mergeCell ref="D16:D17"/>
    <mergeCell ref="E16:E17"/>
    <mergeCell ref="F16:F17"/>
    <mergeCell ref="A14:A15"/>
    <mergeCell ref="B14:B15"/>
    <mergeCell ref="C14:C15"/>
    <mergeCell ref="D14:D15"/>
    <mergeCell ref="E14:E15"/>
    <mergeCell ref="F14:F15"/>
    <mergeCell ref="A12:A13"/>
    <mergeCell ref="B12:B13"/>
    <mergeCell ref="C12:C13"/>
    <mergeCell ref="D12:D13"/>
    <mergeCell ref="E12:E13"/>
    <mergeCell ref="F12:F13"/>
    <mergeCell ref="A10:A11"/>
    <mergeCell ref="B10:B11"/>
    <mergeCell ref="C10:C11"/>
    <mergeCell ref="D10:D11"/>
    <mergeCell ref="E10:E11"/>
    <mergeCell ref="F10:F11"/>
    <mergeCell ref="X4:X5"/>
    <mergeCell ref="A6:A7"/>
    <mergeCell ref="B6:B7"/>
    <mergeCell ref="C6:C7"/>
    <mergeCell ref="D6:D7"/>
    <mergeCell ref="E6:E7"/>
    <mergeCell ref="F6:F7"/>
    <mergeCell ref="A4:G4"/>
    <mergeCell ref="H4:S4"/>
    <mergeCell ref="T4:T5"/>
    <mergeCell ref="U4:U5"/>
    <mergeCell ref="V4:V5"/>
    <mergeCell ref="W4:W5"/>
    <mergeCell ref="A1:D3"/>
    <mergeCell ref="E1:U1"/>
    <mergeCell ref="V1:W1"/>
    <mergeCell ref="E2:U3"/>
    <mergeCell ref="V2:W2"/>
    <mergeCell ref="V3:W3"/>
    <mergeCell ref="A8:A9"/>
    <mergeCell ref="B8:B9"/>
    <mergeCell ref="C8:C9"/>
    <mergeCell ref="D8:D9"/>
    <mergeCell ref="E8:E9"/>
    <mergeCell ref="F8:F9"/>
    <mergeCell ref="H70:J70"/>
    <mergeCell ref="K70:M70"/>
    <mergeCell ref="N70:P70"/>
    <mergeCell ref="Q70:S70"/>
    <mergeCell ref="A73:D74"/>
    <mergeCell ref="E73:H74"/>
    <mergeCell ref="I73:P74"/>
    <mergeCell ref="A75:B75"/>
    <mergeCell ref="A76:B76"/>
  </mergeCells>
  <conditionalFormatting sqref="G7 G9 G11 G13 G15 G17 G19 G21 G23 G25 G27 G29 G31 G33 G35 G37 G39 G41">
    <cfRule type="containsText" dxfId="27" priority="74" operator="containsText" text="Ejecutado">
      <formula>NOT(ISERROR(SEARCH("Ejecutado",G7)))</formula>
    </cfRule>
  </conditionalFormatting>
  <conditionalFormatting sqref="G43 G45 G47 G49 G51 G53 G55 G57 G59 G61 G63 G65">
    <cfRule type="containsText" dxfId="26" priority="73" operator="containsText" text="Ejecutado">
      <formula>NOT(ISERROR(SEARCH("Ejecutado",G43)))</formula>
    </cfRule>
  </conditionalFormatting>
  <conditionalFormatting sqref="H6:K6 M6:S6 H24 J24:S24 R45:S45 H50:L50 N50:S50">
    <cfRule type="cellIs" dxfId="25" priority="78" operator="equal">
      <formula>3</formula>
    </cfRule>
    <cfRule type="cellIs" dxfId="24" priority="79" operator="equal">
      <formula>2</formula>
    </cfRule>
    <cfRule type="cellIs" dxfId="23" priority="80" operator="equal">
      <formula>1</formula>
    </cfRule>
  </conditionalFormatting>
  <conditionalFormatting sqref="H45:P45">
    <cfRule type="cellIs" dxfId="22" priority="1" operator="equal">
      <formula>3</formula>
    </cfRule>
    <cfRule type="cellIs" dxfId="21" priority="2" operator="equal">
      <formula>2</formula>
    </cfRule>
    <cfRule type="cellIs" dxfId="20" priority="3" operator="equal">
      <formula>1</formula>
    </cfRule>
  </conditionalFormatting>
  <conditionalFormatting sqref="H7:S23">
    <cfRule type="cellIs" dxfId="19" priority="46" operator="equal">
      <formula>3</formula>
    </cfRule>
    <cfRule type="cellIs" dxfId="18" priority="47" operator="equal">
      <formula>2</formula>
    </cfRule>
    <cfRule type="cellIs" dxfId="17" priority="48" operator="equal">
      <formula>1</formula>
    </cfRule>
  </conditionalFormatting>
  <conditionalFormatting sqref="H25:S44">
    <cfRule type="cellIs" dxfId="16" priority="28" operator="equal">
      <formula>3</formula>
    </cfRule>
    <cfRule type="cellIs" dxfId="15" priority="29" operator="equal">
      <formula>2</formula>
    </cfRule>
    <cfRule type="cellIs" dxfId="14" priority="30" operator="equal">
      <formula>1</formula>
    </cfRule>
  </conditionalFormatting>
  <conditionalFormatting sqref="H46:S49">
    <cfRule type="cellIs" dxfId="13" priority="25" operator="equal">
      <formula>3</formula>
    </cfRule>
    <cfRule type="cellIs" dxfId="12" priority="26" operator="equal">
      <formula>2</formula>
    </cfRule>
    <cfRule type="cellIs" dxfId="11" priority="27" operator="equal">
      <formula>1</formula>
    </cfRule>
  </conditionalFormatting>
  <conditionalFormatting sqref="H51:S65">
    <cfRule type="cellIs" dxfId="10" priority="4" operator="equal">
      <formula>3</formula>
    </cfRule>
    <cfRule type="cellIs" dxfId="9" priority="5" operator="equal">
      <formula>2</formula>
    </cfRule>
    <cfRule type="cellIs" dxfId="8" priority="6" operator="equal">
      <formula>1</formula>
    </cfRule>
  </conditionalFormatting>
  <conditionalFormatting sqref="T6:T13">
    <cfRule type="cellIs" dxfId="7" priority="81" operator="equal">
      <formula>3</formula>
    </cfRule>
    <cfRule type="cellIs" dxfId="6" priority="82" operator="equal">
      <formula>2</formula>
    </cfRule>
    <cfRule type="cellIs" dxfId="5" priority="83" operator="equal">
      <formula>1</formula>
    </cfRule>
  </conditionalFormatting>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A97"/>
  <sheetViews>
    <sheetView topLeftCell="A37" workbookViewId="0">
      <selection activeCell="P56" sqref="P56"/>
    </sheetView>
  </sheetViews>
  <sheetFormatPr baseColWidth="10" defaultColWidth="9.140625" defaultRowHeight="15" x14ac:dyDescent="0.25"/>
  <cols>
    <col min="2" max="2" width="43.140625" style="210" customWidth="1"/>
    <col min="3" max="3" width="11" customWidth="1"/>
    <col min="4" max="4" width="20.42578125" style="206" customWidth="1"/>
    <col min="5" max="5" width="16.28515625" style="206" customWidth="1"/>
    <col min="6" max="6" width="15.7109375" customWidth="1"/>
    <col min="7" max="7" width="11.85546875" customWidth="1"/>
    <col min="8" max="8" width="9" style="210" customWidth="1"/>
    <col min="9" max="9" width="20.42578125" customWidth="1"/>
    <col min="10" max="10" width="11.85546875" customWidth="1"/>
    <col min="23" max="28" width="0" hidden="1" customWidth="1"/>
  </cols>
  <sheetData>
    <row r="1" spans="1:27" s="210" customFormat="1" ht="15.75" thickBot="1" x14ac:dyDescent="0.3">
      <c r="A1" s="1245" t="s">
        <v>885</v>
      </c>
      <c r="B1" s="1245"/>
      <c r="C1" s="1245"/>
      <c r="D1" s="1245"/>
      <c r="E1" s="1245"/>
      <c r="F1" s="1246"/>
      <c r="G1" s="1251" t="s">
        <v>2021</v>
      </c>
      <c r="H1" s="1251"/>
      <c r="I1" s="1251"/>
      <c r="J1" s="1251"/>
      <c r="K1" s="1251"/>
      <c r="L1" s="1251"/>
      <c r="M1" s="1251"/>
      <c r="N1" s="1251"/>
      <c r="O1" s="1251"/>
      <c r="P1" s="1251"/>
      <c r="Q1" s="1251"/>
      <c r="R1" s="1251"/>
      <c r="S1" s="1251"/>
      <c r="T1" s="1251"/>
      <c r="U1" s="1251"/>
      <c r="V1" s="1251"/>
      <c r="W1" s="1252" t="s">
        <v>2081</v>
      </c>
      <c r="X1" s="1253"/>
      <c r="Y1" s="207" t="s">
        <v>885</v>
      </c>
      <c r="Z1" s="208"/>
      <c r="AA1" s="209"/>
    </row>
    <row r="2" spans="1:27" s="210" customFormat="1" x14ac:dyDescent="0.25">
      <c r="A2" s="1247"/>
      <c r="B2" s="1247"/>
      <c r="C2" s="1247"/>
      <c r="D2" s="1247"/>
      <c r="E2" s="1247"/>
      <c r="F2" s="1248"/>
      <c r="G2" s="1254" t="s">
        <v>2138</v>
      </c>
      <c r="H2" s="1255"/>
      <c r="I2" s="1255"/>
      <c r="J2" s="1255"/>
      <c r="K2" s="1255"/>
      <c r="L2" s="1255"/>
      <c r="M2" s="1255"/>
      <c r="N2" s="1255"/>
      <c r="O2" s="1255"/>
      <c r="P2" s="1255"/>
      <c r="Q2" s="1255"/>
      <c r="R2" s="1255"/>
      <c r="S2" s="1255"/>
      <c r="T2" s="1255"/>
      <c r="U2" s="1255"/>
      <c r="V2" s="1255"/>
      <c r="W2" s="1258" t="s">
        <v>2083</v>
      </c>
      <c r="X2" s="1259"/>
      <c r="Y2" s="211" t="s">
        <v>885</v>
      </c>
      <c r="Z2" s="208"/>
      <c r="AA2" s="209"/>
    </row>
    <row r="3" spans="1:27" s="210" customFormat="1" ht="15.75" thickBot="1" x14ac:dyDescent="0.3">
      <c r="A3" s="1249"/>
      <c r="B3" s="1249"/>
      <c r="C3" s="1249"/>
      <c r="D3" s="1249"/>
      <c r="E3" s="1249"/>
      <c r="F3" s="1250"/>
      <c r="G3" s="1256"/>
      <c r="H3" s="1257"/>
      <c r="I3" s="1257"/>
      <c r="J3" s="1257"/>
      <c r="K3" s="1257"/>
      <c r="L3" s="1257"/>
      <c r="M3" s="1257"/>
      <c r="N3" s="1257"/>
      <c r="O3" s="1257"/>
      <c r="P3" s="1257"/>
      <c r="Q3" s="1257"/>
      <c r="R3" s="1257"/>
      <c r="S3" s="1257"/>
      <c r="T3" s="1257"/>
      <c r="U3" s="1257"/>
      <c r="V3" s="1257"/>
      <c r="W3" s="1252" t="s">
        <v>2084</v>
      </c>
      <c r="X3" s="1253"/>
      <c r="Y3" s="211" t="s">
        <v>885</v>
      </c>
      <c r="Z3" s="208"/>
      <c r="AA3" s="209"/>
    </row>
    <row r="4" spans="1:27" ht="15.75" thickBot="1" x14ac:dyDescent="0.3">
      <c r="A4" s="1275" t="s">
        <v>885</v>
      </c>
      <c r="B4" s="1276"/>
      <c r="C4" s="1276"/>
      <c r="D4" s="1276"/>
      <c r="E4" s="1276"/>
      <c r="F4" s="1276"/>
      <c r="G4" s="1276"/>
      <c r="H4" s="1276"/>
      <c r="I4" s="1276"/>
      <c r="J4" s="1277"/>
      <c r="K4" s="1276" t="s">
        <v>2027</v>
      </c>
      <c r="L4" s="1276"/>
      <c r="M4" s="1276"/>
      <c r="N4" s="1276"/>
      <c r="O4" s="1276"/>
      <c r="P4" s="1276"/>
      <c r="Q4" s="1276"/>
      <c r="R4" s="1276"/>
      <c r="S4" s="1276"/>
      <c r="T4" s="1276"/>
      <c r="U4" s="1276"/>
      <c r="V4" s="1278"/>
      <c r="W4" s="1279" t="s">
        <v>2139</v>
      </c>
      <c r="X4" s="1280" t="s">
        <v>2140</v>
      </c>
      <c r="Y4" s="1282" t="s">
        <v>2141</v>
      </c>
      <c r="Z4" s="1260" t="s">
        <v>2028</v>
      </c>
      <c r="AA4" s="1260" t="s">
        <v>2029</v>
      </c>
    </row>
    <row r="5" spans="1:27" s="206" customFormat="1" ht="34.5" thickBot="1" x14ac:dyDescent="0.25">
      <c r="A5" s="212" t="s">
        <v>885</v>
      </c>
      <c r="B5" s="213" t="s">
        <v>2142</v>
      </c>
      <c r="C5" s="214" t="s">
        <v>2143</v>
      </c>
      <c r="D5" s="214" t="s">
        <v>2144</v>
      </c>
      <c r="E5" s="215" t="s">
        <v>2145</v>
      </c>
      <c r="F5" s="216" t="s">
        <v>2033</v>
      </c>
      <c r="G5" s="216" t="s">
        <v>2030</v>
      </c>
      <c r="H5" s="217" t="s">
        <v>2146</v>
      </c>
      <c r="I5" s="216" t="s">
        <v>2090</v>
      </c>
      <c r="J5" s="218" t="s">
        <v>1975</v>
      </c>
      <c r="K5" s="216" t="s">
        <v>1976</v>
      </c>
      <c r="L5" s="216" t="s">
        <v>1977</v>
      </c>
      <c r="M5" s="216" t="s">
        <v>1978</v>
      </c>
      <c r="N5" s="216" t="s">
        <v>1979</v>
      </c>
      <c r="O5" s="216" t="s">
        <v>1980</v>
      </c>
      <c r="P5" s="216" t="s">
        <v>1981</v>
      </c>
      <c r="Q5" s="216" t="s">
        <v>1982</v>
      </c>
      <c r="R5" s="216" t="s">
        <v>1983</v>
      </c>
      <c r="S5" s="216" t="s">
        <v>1984</v>
      </c>
      <c r="T5" s="216" t="s">
        <v>1985</v>
      </c>
      <c r="U5" s="216" t="s">
        <v>1986</v>
      </c>
      <c r="V5" s="216" t="s">
        <v>1987</v>
      </c>
      <c r="W5" s="1261"/>
      <c r="X5" s="1281"/>
      <c r="Y5" s="1283"/>
      <c r="Z5" s="1261"/>
      <c r="AA5" s="1261"/>
    </row>
    <row r="6" spans="1:27" ht="27.75" customHeight="1" x14ac:dyDescent="0.25">
      <c r="A6" s="1262">
        <v>1</v>
      </c>
      <c r="B6" s="1264" t="s">
        <v>2147</v>
      </c>
      <c r="C6" s="1266" t="s">
        <v>1422</v>
      </c>
      <c r="D6" s="1268" t="s">
        <v>885</v>
      </c>
      <c r="E6" s="1268" t="s">
        <v>885</v>
      </c>
      <c r="F6" s="1269" t="s">
        <v>2037</v>
      </c>
      <c r="G6" s="1271" t="s">
        <v>2148</v>
      </c>
      <c r="H6" s="1273" t="s">
        <v>885</v>
      </c>
      <c r="I6" s="1273" t="s">
        <v>2149</v>
      </c>
      <c r="J6" s="219" t="s">
        <v>2150</v>
      </c>
      <c r="K6" s="220">
        <v>1</v>
      </c>
      <c r="L6" s="221" t="s">
        <v>885</v>
      </c>
      <c r="M6" s="221" t="s">
        <v>885</v>
      </c>
      <c r="N6" s="221" t="s">
        <v>885</v>
      </c>
      <c r="O6" s="222" t="s">
        <v>885</v>
      </c>
      <c r="P6" s="223" t="s">
        <v>885</v>
      </c>
      <c r="Q6" s="221" t="s">
        <v>885</v>
      </c>
      <c r="R6" s="221" t="s">
        <v>885</v>
      </c>
      <c r="S6" s="221" t="s">
        <v>885</v>
      </c>
      <c r="T6" s="221" t="s">
        <v>885</v>
      </c>
      <c r="U6" s="224" t="s">
        <v>885</v>
      </c>
      <c r="V6" s="225" t="s">
        <v>885</v>
      </c>
      <c r="W6" s="84"/>
      <c r="X6" s="84"/>
      <c r="Y6" s="226"/>
      <c r="Z6" s="226"/>
      <c r="AA6" s="226"/>
    </row>
    <row r="7" spans="1:27" ht="21.75" customHeight="1" x14ac:dyDescent="0.25">
      <c r="A7" s="1263"/>
      <c r="B7" s="1265"/>
      <c r="C7" s="1267"/>
      <c r="D7" s="1267"/>
      <c r="E7" s="1267"/>
      <c r="F7" s="1270"/>
      <c r="G7" s="1272"/>
      <c r="H7" s="1274"/>
      <c r="I7" s="1274"/>
      <c r="J7" s="227" t="s">
        <v>2151</v>
      </c>
      <c r="K7" s="228"/>
      <c r="L7" s="221" t="s">
        <v>885</v>
      </c>
      <c r="M7" s="221" t="s">
        <v>885</v>
      </c>
      <c r="N7" s="221" t="s">
        <v>885</v>
      </c>
      <c r="O7" s="229" t="s">
        <v>885</v>
      </c>
      <c r="P7" s="221" t="s">
        <v>885</v>
      </c>
      <c r="Q7" s="221" t="s">
        <v>885</v>
      </c>
      <c r="R7" s="221" t="s">
        <v>885</v>
      </c>
      <c r="S7" s="221" t="s">
        <v>885</v>
      </c>
      <c r="T7" s="221" t="s">
        <v>885</v>
      </c>
      <c r="U7" s="224" t="s">
        <v>885</v>
      </c>
      <c r="V7" s="225" t="s">
        <v>885</v>
      </c>
      <c r="W7" s="84"/>
      <c r="X7" s="84"/>
      <c r="Y7" s="226"/>
      <c r="Z7" s="226"/>
      <c r="AA7" s="226"/>
    </row>
    <row r="8" spans="1:27" ht="15" customHeight="1" x14ac:dyDescent="0.25">
      <c r="A8" s="1286">
        <v>2</v>
      </c>
      <c r="B8" s="1287" t="s">
        <v>2152</v>
      </c>
      <c r="C8" s="1288" t="s">
        <v>2153</v>
      </c>
      <c r="D8" s="1288" t="s">
        <v>885</v>
      </c>
      <c r="E8" s="1288" t="s">
        <v>885</v>
      </c>
      <c r="F8" s="1269" t="s">
        <v>2037</v>
      </c>
      <c r="G8" s="1284" t="s">
        <v>2154</v>
      </c>
      <c r="H8" s="1285" t="s">
        <v>885</v>
      </c>
      <c r="I8" s="1273" t="s">
        <v>2149</v>
      </c>
      <c r="J8" s="219" t="s">
        <v>2150</v>
      </c>
      <c r="K8" s="220">
        <v>1</v>
      </c>
      <c r="L8" s="221" t="s">
        <v>885</v>
      </c>
      <c r="M8" s="221" t="s">
        <v>885</v>
      </c>
      <c r="N8" s="221" t="s">
        <v>885</v>
      </c>
      <c r="O8" s="221" t="s">
        <v>885</v>
      </c>
      <c r="P8" s="221" t="s">
        <v>885</v>
      </c>
      <c r="Q8" s="221" t="s">
        <v>885</v>
      </c>
      <c r="R8" s="221" t="s">
        <v>885</v>
      </c>
      <c r="S8" s="221" t="s">
        <v>885</v>
      </c>
      <c r="T8" s="221" t="s">
        <v>885</v>
      </c>
      <c r="U8" s="224" t="s">
        <v>885</v>
      </c>
      <c r="V8" s="225" t="s">
        <v>885</v>
      </c>
      <c r="W8" s="84"/>
      <c r="X8" s="84"/>
      <c r="Y8" s="226"/>
      <c r="Z8" s="226"/>
      <c r="AA8" s="226"/>
    </row>
    <row r="9" spans="1:27" x14ac:dyDescent="0.25">
      <c r="A9" s="1263"/>
      <c r="B9" s="1265"/>
      <c r="C9" s="1267"/>
      <c r="D9" s="1267"/>
      <c r="E9" s="1293"/>
      <c r="F9" s="1270"/>
      <c r="G9" s="1272"/>
      <c r="H9" s="1274"/>
      <c r="I9" s="1274"/>
      <c r="J9" s="227" t="s">
        <v>2151</v>
      </c>
      <c r="K9" s="221" t="s">
        <v>885</v>
      </c>
      <c r="L9" s="221" t="s">
        <v>885</v>
      </c>
      <c r="M9" s="221" t="s">
        <v>885</v>
      </c>
      <c r="N9" s="221" t="s">
        <v>885</v>
      </c>
      <c r="O9" s="221" t="s">
        <v>885</v>
      </c>
      <c r="P9" s="221" t="s">
        <v>885</v>
      </c>
      <c r="Q9" s="221" t="s">
        <v>885</v>
      </c>
      <c r="R9" s="221" t="s">
        <v>885</v>
      </c>
      <c r="S9" s="221" t="s">
        <v>885</v>
      </c>
      <c r="T9" s="221" t="s">
        <v>885</v>
      </c>
      <c r="U9" s="224" t="s">
        <v>885</v>
      </c>
      <c r="V9" s="225" t="s">
        <v>885</v>
      </c>
      <c r="W9" s="84"/>
      <c r="X9" s="84"/>
      <c r="Y9" s="226"/>
      <c r="Z9" s="226"/>
      <c r="AA9" s="226"/>
    </row>
    <row r="10" spans="1:27" ht="15" customHeight="1" x14ac:dyDescent="0.25">
      <c r="A10" s="1286">
        <v>4</v>
      </c>
      <c r="B10" s="1287" t="s">
        <v>2155</v>
      </c>
      <c r="C10" s="1288" t="s">
        <v>2156</v>
      </c>
      <c r="D10" s="1289" t="s">
        <v>2157</v>
      </c>
      <c r="E10" s="1291" t="s">
        <v>2158</v>
      </c>
      <c r="F10" s="1269" t="s">
        <v>2037</v>
      </c>
      <c r="G10" s="1284" t="s">
        <v>2159</v>
      </c>
      <c r="H10" s="1285" t="s">
        <v>2102</v>
      </c>
      <c r="I10" s="1273" t="s">
        <v>2149</v>
      </c>
      <c r="J10" s="219" t="s">
        <v>2150</v>
      </c>
      <c r="K10" s="221" t="s">
        <v>885</v>
      </c>
      <c r="L10" s="232"/>
      <c r="M10" s="221" t="s">
        <v>885</v>
      </c>
      <c r="N10" s="221" t="s">
        <v>885</v>
      </c>
      <c r="O10" s="221" t="s">
        <v>885</v>
      </c>
      <c r="P10" s="221" t="s">
        <v>885</v>
      </c>
      <c r="Q10" s="221" t="s">
        <v>885</v>
      </c>
      <c r="R10" s="220">
        <v>1</v>
      </c>
      <c r="S10" s="221" t="s">
        <v>885</v>
      </c>
      <c r="T10" s="221" t="s">
        <v>885</v>
      </c>
      <c r="U10" s="224" t="s">
        <v>885</v>
      </c>
      <c r="V10" s="225" t="s">
        <v>885</v>
      </c>
      <c r="W10" s="84"/>
      <c r="X10" s="84"/>
      <c r="Y10" s="226"/>
      <c r="Z10" s="226"/>
      <c r="AA10" s="226"/>
    </row>
    <row r="11" spans="1:27" x14ac:dyDescent="0.25">
      <c r="A11" s="1263"/>
      <c r="B11" s="1265"/>
      <c r="C11" s="1267"/>
      <c r="D11" s="1290"/>
      <c r="E11" s="1292"/>
      <c r="F11" s="1270"/>
      <c r="G11" s="1272"/>
      <c r="H11" s="1274"/>
      <c r="I11" s="1274"/>
      <c r="J11" s="227" t="s">
        <v>2151</v>
      </c>
      <c r="K11" s="221" t="s">
        <v>885</v>
      </c>
      <c r="L11" s="221" t="s">
        <v>885</v>
      </c>
      <c r="M11" s="221" t="s">
        <v>885</v>
      </c>
      <c r="N11" s="221" t="s">
        <v>885</v>
      </c>
      <c r="O11" s="221" t="s">
        <v>885</v>
      </c>
      <c r="P11" s="221" t="s">
        <v>885</v>
      </c>
      <c r="Q11" s="221" t="s">
        <v>885</v>
      </c>
      <c r="R11" s="221" t="s">
        <v>885</v>
      </c>
      <c r="S11" s="221" t="s">
        <v>885</v>
      </c>
      <c r="T11" s="221" t="s">
        <v>885</v>
      </c>
      <c r="U11" s="224" t="s">
        <v>885</v>
      </c>
      <c r="V11" s="225" t="s">
        <v>885</v>
      </c>
      <c r="W11" s="84"/>
      <c r="X11" s="84"/>
      <c r="Y11" s="226"/>
      <c r="Z11" s="226"/>
      <c r="AA11" s="226"/>
    </row>
    <row r="12" spans="1:27" ht="15" customHeight="1" x14ac:dyDescent="0.25">
      <c r="A12" s="1262">
        <v>5</v>
      </c>
      <c r="B12" s="1287" t="s">
        <v>2160</v>
      </c>
      <c r="C12" s="1288" t="s">
        <v>2156</v>
      </c>
      <c r="D12" s="1266" t="s">
        <v>2161</v>
      </c>
      <c r="E12" s="1266" t="s">
        <v>2162</v>
      </c>
      <c r="F12" s="1269" t="s">
        <v>2037</v>
      </c>
      <c r="G12" s="1284" t="s">
        <v>2159</v>
      </c>
      <c r="H12" s="1285" t="s">
        <v>2102</v>
      </c>
      <c r="I12" s="1273" t="s">
        <v>2149</v>
      </c>
      <c r="J12" s="219" t="s">
        <v>2150</v>
      </c>
      <c r="K12" s="221" t="s">
        <v>885</v>
      </c>
      <c r="L12" s="221" t="s">
        <v>885</v>
      </c>
      <c r="M12" s="221" t="s">
        <v>885</v>
      </c>
      <c r="N12" s="221" t="s">
        <v>885</v>
      </c>
      <c r="O12" s="221" t="s">
        <v>885</v>
      </c>
      <c r="P12" s="221" t="s">
        <v>885</v>
      </c>
      <c r="Q12" s="221" t="s">
        <v>885</v>
      </c>
      <c r="R12" s="221" t="s">
        <v>885</v>
      </c>
      <c r="S12" s="220">
        <v>1</v>
      </c>
      <c r="T12" s="221" t="s">
        <v>885</v>
      </c>
      <c r="U12" s="224" t="s">
        <v>885</v>
      </c>
      <c r="V12" s="225" t="s">
        <v>885</v>
      </c>
      <c r="W12" s="84"/>
      <c r="X12" s="84"/>
      <c r="Y12" s="226"/>
      <c r="Z12" s="226"/>
      <c r="AA12" s="226"/>
    </row>
    <row r="13" spans="1:27" ht="17.25" customHeight="1" x14ac:dyDescent="0.25">
      <c r="A13" s="1263"/>
      <c r="B13" s="1265"/>
      <c r="C13" s="1267"/>
      <c r="D13" s="1267"/>
      <c r="E13" s="1267"/>
      <c r="F13" s="1270"/>
      <c r="G13" s="1272"/>
      <c r="H13" s="1274"/>
      <c r="I13" s="1274"/>
      <c r="J13" s="227" t="s">
        <v>2151</v>
      </c>
      <c r="K13" s="221" t="s">
        <v>885</v>
      </c>
      <c r="L13" s="221" t="s">
        <v>885</v>
      </c>
      <c r="M13" s="221" t="s">
        <v>885</v>
      </c>
      <c r="N13" s="221" t="s">
        <v>885</v>
      </c>
      <c r="O13" s="221" t="s">
        <v>885</v>
      </c>
      <c r="P13" s="221" t="s">
        <v>885</v>
      </c>
      <c r="Q13" s="221" t="s">
        <v>885</v>
      </c>
      <c r="R13" s="221" t="s">
        <v>885</v>
      </c>
      <c r="S13" s="221" t="s">
        <v>885</v>
      </c>
      <c r="T13" s="221" t="s">
        <v>885</v>
      </c>
      <c r="U13" s="224" t="s">
        <v>885</v>
      </c>
      <c r="V13" s="225" t="s">
        <v>885</v>
      </c>
      <c r="W13" s="84"/>
      <c r="X13" s="84"/>
      <c r="Y13" s="226"/>
      <c r="Z13" s="226"/>
      <c r="AA13" s="226"/>
    </row>
    <row r="14" spans="1:27" ht="15" customHeight="1" x14ac:dyDescent="0.25">
      <c r="A14" s="1286">
        <v>6</v>
      </c>
      <c r="B14" s="1294" t="s">
        <v>2163</v>
      </c>
      <c r="C14" s="1288" t="s">
        <v>2156</v>
      </c>
      <c r="D14" s="1266" t="s">
        <v>2161</v>
      </c>
      <c r="E14" s="1291" t="s">
        <v>2158</v>
      </c>
      <c r="F14" s="1269" t="s">
        <v>2037</v>
      </c>
      <c r="G14" s="1284" t="s">
        <v>2159</v>
      </c>
      <c r="H14" s="1285" t="s">
        <v>2102</v>
      </c>
      <c r="I14" s="1273" t="s">
        <v>2149</v>
      </c>
      <c r="J14" s="219" t="s">
        <v>2150</v>
      </c>
      <c r="K14" s="221" t="s">
        <v>885</v>
      </c>
      <c r="L14" s="221" t="s">
        <v>885</v>
      </c>
      <c r="M14" s="221" t="s">
        <v>885</v>
      </c>
      <c r="N14" s="221" t="s">
        <v>885</v>
      </c>
      <c r="O14" s="221" t="s">
        <v>885</v>
      </c>
      <c r="P14" s="220">
        <v>1</v>
      </c>
      <c r="Q14" s="221" t="s">
        <v>885</v>
      </c>
      <c r="R14" s="221" t="s">
        <v>885</v>
      </c>
      <c r="S14" s="221" t="s">
        <v>885</v>
      </c>
      <c r="T14" s="221" t="s">
        <v>885</v>
      </c>
      <c r="U14" s="224" t="s">
        <v>885</v>
      </c>
      <c r="V14" s="225" t="s">
        <v>885</v>
      </c>
      <c r="W14" s="84"/>
      <c r="X14" s="84"/>
      <c r="Y14" s="226"/>
      <c r="Z14" s="226"/>
      <c r="AA14" s="226"/>
    </row>
    <row r="15" spans="1:27" x14ac:dyDescent="0.25">
      <c r="A15" s="1263"/>
      <c r="B15" s="1295"/>
      <c r="C15" s="1267"/>
      <c r="D15" s="1267"/>
      <c r="E15" s="1292"/>
      <c r="F15" s="1270"/>
      <c r="G15" s="1272"/>
      <c r="H15" s="1274"/>
      <c r="I15" s="1274"/>
      <c r="J15" s="227" t="s">
        <v>2151</v>
      </c>
      <c r="K15" s="221" t="s">
        <v>885</v>
      </c>
      <c r="L15" s="233" t="s">
        <v>885</v>
      </c>
      <c r="M15" s="221" t="s">
        <v>885</v>
      </c>
      <c r="N15" s="221" t="s">
        <v>885</v>
      </c>
      <c r="O15" s="221" t="s">
        <v>885</v>
      </c>
      <c r="P15" s="221" t="s">
        <v>885</v>
      </c>
      <c r="Q15" s="221" t="s">
        <v>885</v>
      </c>
      <c r="R15" s="221" t="s">
        <v>885</v>
      </c>
      <c r="S15" s="221" t="s">
        <v>885</v>
      </c>
      <c r="T15" s="221" t="s">
        <v>885</v>
      </c>
      <c r="U15" s="224" t="s">
        <v>885</v>
      </c>
      <c r="V15" s="225" t="s">
        <v>885</v>
      </c>
      <c r="W15" s="84"/>
      <c r="X15" s="84"/>
      <c r="Y15" s="226"/>
      <c r="Z15" s="226"/>
      <c r="AA15" s="226"/>
    </row>
    <row r="16" spans="1:27" ht="15" customHeight="1" x14ac:dyDescent="0.25">
      <c r="A16" s="1262">
        <v>7</v>
      </c>
      <c r="B16" s="1287" t="s">
        <v>2164</v>
      </c>
      <c r="C16" s="1288" t="s">
        <v>2156</v>
      </c>
      <c r="D16" s="1266" t="s">
        <v>2161</v>
      </c>
      <c r="E16" s="1291" t="s">
        <v>2158</v>
      </c>
      <c r="F16" s="1269" t="s">
        <v>2037</v>
      </c>
      <c r="G16" s="1284" t="s">
        <v>2159</v>
      </c>
      <c r="H16" s="1285" t="s">
        <v>2102</v>
      </c>
      <c r="I16" s="1273" t="s">
        <v>2149</v>
      </c>
      <c r="J16" s="219" t="s">
        <v>2150</v>
      </c>
      <c r="K16" s="224" t="s">
        <v>885</v>
      </c>
      <c r="L16" s="234" t="s">
        <v>885</v>
      </c>
      <c r="M16" s="221" t="s">
        <v>885</v>
      </c>
      <c r="N16" s="221" t="s">
        <v>885</v>
      </c>
      <c r="O16" s="221" t="s">
        <v>885</v>
      </c>
      <c r="P16" s="221" t="s">
        <v>885</v>
      </c>
      <c r="Q16" s="221" t="s">
        <v>885</v>
      </c>
      <c r="R16" s="221" t="s">
        <v>885</v>
      </c>
      <c r="S16" s="221" t="s">
        <v>885</v>
      </c>
      <c r="T16" s="221" t="s">
        <v>885</v>
      </c>
      <c r="U16" s="224" t="s">
        <v>885</v>
      </c>
      <c r="V16" s="231">
        <v>1</v>
      </c>
      <c r="W16" s="84"/>
      <c r="X16" s="84"/>
      <c r="Y16" s="226"/>
      <c r="Z16" s="226"/>
      <c r="AA16" s="226"/>
    </row>
    <row r="17" spans="1:27" x14ac:dyDescent="0.25">
      <c r="A17" s="1263"/>
      <c r="B17" s="1265"/>
      <c r="C17" s="1267"/>
      <c r="D17" s="1267"/>
      <c r="E17" s="1292"/>
      <c r="F17" s="1270"/>
      <c r="G17" s="1272"/>
      <c r="H17" s="1274"/>
      <c r="I17" s="1274"/>
      <c r="J17" s="227" t="s">
        <v>2151</v>
      </c>
      <c r="K17" s="224" t="s">
        <v>885</v>
      </c>
      <c r="L17" s="235" t="s">
        <v>885</v>
      </c>
      <c r="M17" s="221" t="s">
        <v>885</v>
      </c>
      <c r="N17" s="221" t="s">
        <v>885</v>
      </c>
      <c r="O17" s="221" t="s">
        <v>885</v>
      </c>
      <c r="P17" s="221" t="s">
        <v>885</v>
      </c>
      <c r="Q17" s="221" t="s">
        <v>885</v>
      </c>
      <c r="R17" s="221" t="s">
        <v>885</v>
      </c>
      <c r="S17" s="221" t="s">
        <v>885</v>
      </c>
      <c r="T17" s="221" t="s">
        <v>885</v>
      </c>
      <c r="U17" s="224" t="s">
        <v>885</v>
      </c>
      <c r="V17" s="225" t="s">
        <v>885</v>
      </c>
      <c r="W17" s="84"/>
      <c r="X17" s="84"/>
      <c r="Y17" s="226"/>
      <c r="Z17" s="226"/>
      <c r="AA17" s="226"/>
    </row>
    <row r="18" spans="1:27" ht="15" customHeight="1" x14ac:dyDescent="0.25">
      <c r="A18" s="1286">
        <v>8</v>
      </c>
      <c r="B18" s="1287" t="s">
        <v>2165</v>
      </c>
      <c r="C18" s="1288" t="s">
        <v>2156</v>
      </c>
      <c r="D18" s="1266" t="s">
        <v>2161</v>
      </c>
      <c r="E18" s="1266" t="s">
        <v>2166</v>
      </c>
      <c r="F18" s="1269" t="s">
        <v>2037</v>
      </c>
      <c r="G18" s="1284" t="s">
        <v>2159</v>
      </c>
      <c r="H18" s="1285" t="s">
        <v>2102</v>
      </c>
      <c r="I18" s="1273" t="s">
        <v>2149</v>
      </c>
      <c r="J18" s="219" t="s">
        <v>2150</v>
      </c>
      <c r="K18" s="221" t="s">
        <v>885</v>
      </c>
      <c r="L18" s="221" t="s">
        <v>885</v>
      </c>
      <c r="M18" s="221" t="s">
        <v>885</v>
      </c>
      <c r="N18" s="221" t="s">
        <v>885</v>
      </c>
      <c r="O18" s="220">
        <v>1</v>
      </c>
      <c r="P18" s="221" t="s">
        <v>885</v>
      </c>
      <c r="Q18" s="221" t="s">
        <v>885</v>
      </c>
      <c r="R18" s="221" t="s">
        <v>885</v>
      </c>
      <c r="S18" s="221" t="s">
        <v>885</v>
      </c>
      <c r="T18" s="221" t="s">
        <v>885</v>
      </c>
      <c r="U18" s="224" t="s">
        <v>885</v>
      </c>
      <c r="V18" s="225" t="s">
        <v>885</v>
      </c>
      <c r="W18" s="84"/>
      <c r="X18" s="84"/>
      <c r="Y18" s="226"/>
      <c r="Z18" s="226"/>
      <c r="AA18" s="226"/>
    </row>
    <row r="19" spans="1:27" x14ac:dyDescent="0.25">
      <c r="A19" s="1263"/>
      <c r="B19" s="1265"/>
      <c r="C19" s="1267"/>
      <c r="D19" s="1267"/>
      <c r="E19" s="1293"/>
      <c r="F19" s="1270"/>
      <c r="G19" s="1272"/>
      <c r="H19" s="1274"/>
      <c r="I19" s="1274"/>
      <c r="J19" s="227" t="s">
        <v>2151</v>
      </c>
      <c r="K19" s="221" t="s">
        <v>885</v>
      </c>
      <c r="L19" s="221" t="s">
        <v>885</v>
      </c>
      <c r="M19" s="221" t="s">
        <v>885</v>
      </c>
      <c r="N19" s="221" t="s">
        <v>885</v>
      </c>
      <c r="O19" s="221" t="s">
        <v>885</v>
      </c>
      <c r="P19" s="221" t="s">
        <v>885</v>
      </c>
      <c r="Q19" s="221" t="s">
        <v>885</v>
      </c>
      <c r="R19" s="221" t="s">
        <v>885</v>
      </c>
      <c r="S19" s="221" t="s">
        <v>885</v>
      </c>
      <c r="T19" s="221" t="s">
        <v>885</v>
      </c>
      <c r="U19" s="224" t="s">
        <v>885</v>
      </c>
      <c r="V19" s="225" t="s">
        <v>885</v>
      </c>
      <c r="W19" s="84"/>
      <c r="X19" s="84"/>
      <c r="Y19" s="226"/>
      <c r="Z19" s="226"/>
      <c r="AA19" s="226"/>
    </row>
    <row r="20" spans="1:27" ht="15" customHeight="1" x14ac:dyDescent="0.25">
      <c r="A20" s="1262">
        <v>9</v>
      </c>
      <c r="B20" s="1296" t="s">
        <v>2167</v>
      </c>
      <c r="C20" s="1288" t="s">
        <v>2156</v>
      </c>
      <c r="D20" s="1266" t="s">
        <v>2161</v>
      </c>
      <c r="E20" s="1291" t="s">
        <v>2158</v>
      </c>
      <c r="F20" s="1269" t="s">
        <v>2037</v>
      </c>
      <c r="G20" s="1284" t="s">
        <v>2159</v>
      </c>
      <c r="H20" s="1285" t="s">
        <v>2102</v>
      </c>
      <c r="I20" s="1273" t="s">
        <v>2149</v>
      </c>
      <c r="J20" s="219" t="s">
        <v>2150</v>
      </c>
      <c r="K20" s="221" t="s">
        <v>885</v>
      </c>
      <c r="L20" s="221" t="s">
        <v>885</v>
      </c>
      <c r="M20" s="221" t="s">
        <v>885</v>
      </c>
      <c r="N20" s="545"/>
      <c r="O20" s="341">
        <v>1</v>
      </c>
      <c r="P20" s="221" t="s">
        <v>885</v>
      </c>
      <c r="Q20" s="221" t="s">
        <v>885</v>
      </c>
      <c r="R20" s="221" t="s">
        <v>885</v>
      </c>
      <c r="S20" s="221" t="s">
        <v>885</v>
      </c>
      <c r="T20" s="221" t="s">
        <v>885</v>
      </c>
      <c r="U20" s="224" t="s">
        <v>885</v>
      </c>
      <c r="V20" s="225" t="s">
        <v>885</v>
      </c>
      <c r="W20" s="84"/>
      <c r="X20" s="84"/>
      <c r="Y20" s="226"/>
      <c r="Z20" s="226"/>
      <c r="AA20" s="226"/>
    </row>
    <row r="21" spans="1:27" x14ac:dyDescent="0.25">
      <c r="A21" s="1263"/>
      <c r="B21" s="1297"/>
      <c r="C21" s="1267"/>
      <c r="D21" s="1267"/>
      <c r="E21" s="1292"/>
      <c r="F21" s="1270"/>
      <c r="G21" s="1272"/>
      <c r="H21" s="1274"/>
      <c r="I21" s="1274"/>
      <c r="J21" s="227" t="s">
        <v>2151</v>
      </c>
      <c r="K21" s="221" t="s">
        <v>885</v>
      </c>
      <c r="L21" s="221" t="s">
        <v>885</v>
      </c>
      <c r="M21" s="221" t="s">
        <v>885</v>
      </c>
      <c r="N21" s="221"/>
      <c r="O21" s="342" t="s">
        <v>885</v>
      </c>
      <c r="P21" s="221" t="s">
        <v>885</v>
      </c>
      <c r="Q21" s="221" t="s">
        <v>885</v>
      </c>
      <c r="R21" s="221" t="s">
        <v>885</v>
      </c>
      <c r="S21" s="221" t="s">
        <v>885</v>
      </c>
      <c r="T21" s="221" t="s">
        <v>885</v>
      </c>
      <c r="U21" s="224" t="s">
        <v>885</v>
      </c>
      <c r="V21" s="225" t="s">
        <v>885</v>
      </c>
      <c r="W21" s="84"/>
      <c r="X21" s="84"/>
      <c r="Y21" s="226"/>
      <c r="Z21" s="226"/>
      <c r="AA21" s="226"/>
    </row>
    <row r="22" spans="1:27" ht="15" customHeight="1" x14ac:dyDescent="0.25">
      <c r="A22" s="1286">
        <v>10</v>
      </c>
      <c r="B22" s="1296" t="s">
        <v>2168</v>
      </c>
      <c r="C22" s="1288" t="s">
        <v>2156</v>
      </c>
      <c r="D22" s="1266" t="s">
        <v>2161</v>
      </c>
      <c r="E22" s="1291" t="s">
        <v>2158</v>
      </c>
      <c r="F22" s="1269" t="s">
        <v>2037</v>
      </c>
      <c r="G22" s="1284" t="s">
        <v>2159</v>
      </c>
      <c r="H22" s="1285" t="s">
        <v>2102</v>
      </c>
      <c r="I22" s="1273" t="s">
        <v>2149</v>
      </c>
      <c r="J22" s="219" t="s">
        <v>2150</v>
      </c>
      <c r="K22" s="221" t="s">
        <v>885</v>
      </c>
      <c r="L22" s="221" t="s">
        <v>885</v>
      </c>
      <c r="M22" s="221"/>
      <c r="N22" s="545"/>
      <c r="O22" s="341">
        <v>1</v>
      </c>
      <c r="P22" s="221" t="s">
        <v>885</v>
      </c>
      <c r="Q22" s="221" t="s">
        <v>885</v>
      </c>
      <c r="R22" s="221" t="s">
        <v>885</v>
      </c>
      <c r="S22" s="221" t="s">
        <v>885</v>
      </c>
      <c r="T22" s="221" t="s">
        <v>885</v>
      </c>
      <c r="U22" s="224" t="s">
        <v>885</v>
      </c>
      <c r="V22" s="225" t="s">
        <v>885</v>
      </c>
      <c r="W22" s="84"/>
      <c r="X22" s="84"/>
      <c r="Y22" s="226"/>
      <c r="Z22" s="226"/>
      <c r="AA22" s="226"/>
    </row>
    <row r="23" spans="1:27" x14ac:dyDescent="0.25">
      <c r="A23" s="1263"/>
      <c r="B23" s="1297"/>
      <c r="C23" s="1267"/>
      <c r="D23" s="1267"/>
      <c r="E23" s="1292"/>
      <c r="F23" s="1270"/>
      <c r="G23" s="1272"/>
      <c r="H23" s="1274"/>
      <c r="I23" s="1274"/>
      <c r="J23" s="227" t="s">
        <v>2151</v>
      </c>
      <c r="K23" s="221" t="s">
        <v>885</v>
      </c>
      <c r="L23" s="221" t="s">
        <v>885</v>
      </c>
      <c r="M23" s="221" t="s">
        <v>885</v>
      </c>
      <c r="N23" s="221" t="s">
        <v>885</v>
      </c>
      <c r="O23" s="342" t="s">
        <v>885</v>
      </c>
      <c r="P23" s="221" t="s">
        <v>885</v>
      </c>
      <c r="Q23" s="221" t="s">
        <v>885</v>
      </c>
      <c r="R23" s="545"/>
      <c r="S23" s="221" t="s">
        <v>885</v>
      </c>
      <c r="T23" s="221" t="s">
        <v>885</v>
      </c>
      <c r="U23" s="224" t="s">
        <v>885</v>
      </c>
      <c r="V23" s="225" t="s">
        <v>885</v>
      </c>
      <c r="W23" s="84"/>
      <c r="X23" s="84"/>
      <c r="Y23" s="226"/>
      <c r="Z23" s="226"/>
      <c r="AA23" s="226"/>
    </row>
    <row r="24" spans="1:27" ht="15" customHeight="1" x14ac:dyDescent="0.25">
      <c r="A24" s="1262">
        <v>11</v>
      </c>
      <c r="B24" s="1296" t="s">
        <v>2169</v>
      </c>
      <c r="C24" s="1288" t="s">
        <v>2156</v>
      </c>
      <c r="D24" s="1288" t="s">
        <v>2170</v>
      </c>
      <c r="E24" s="1291" t="s">
        <v>2158</v>
      </c>
      <c r="F24" s="1269" t="s">
        <v>2037</v>
      </c>
      <c r="G24" s="1284" t="s">
        <v>2159</v>
      </c>
      <c r="H24" s="1285" t="s">
        <v>2102</v>
      </c>
      <c r="I24" s="1273" t="s">
        <v>2149</v>
      </c>
      <c r="J24" s="219" t="s">
        <v>2150</v>
      </c>
      <c r="K24" s="221" t="s">
        <v>885</v>
      </c>
      <c r="L24" s="221" t="s">
        <v>885</v>
      </c>
      <c r="M24" s="221" t="s">
        <v>885</v>
      </c>
      <c r="N24" s="221" t="s">
        <v>885</v>
      </c>
      <c r="O24" s="221" t="s">
        <v>885</v>
      </c>
      <c r="P24" s="220">
        <v>1</v>
      </c>
      <c r="Q24" s="220"/>
      <c r="R24" s="220"/>
      <c r="S24" s="221" t="s">
        <v>885</v>
      </c>
      <c r="T24" s="221" t="s">
        <v>885</v>
      </c>
      <c r="U24" s="224" t="s">
        <v>885</v>
      </c>
      <c r="V24" s="225" t="s">
        <v>885</v>
      </c>
      <c r="W24" s="84"/>
      <c r="X24" s="84"/>
      <c r="Y24" s="226"/>
      <c r="Z24" s="226"/>
      <c r="AA24" s="226"/>
    </row>
    <row r="25" spans="1:27" x14ac:dyDescent="0.25">
      <c r="A25" s="1263"/>
      <c r="B25" s="1297"/>
      <c r="C25" s="1267"/>
      <c r="D25" s="1267"/>
      <c r="E25" s="1292"/>
      <c r="F25" s="1270"/>
      <c r="G25" s="1272"/>
      <c r="H25" s="1274"/>
      <c r="I25" s="1274"/>
      <c r="J25" s="227" t="s">
        <v>2151</v>
      </c>
      <c r="K25" s="221" t="s">
        <v>885</v>
      </c>
      <c r="L25" s="221" t="s">
        <v>885</v>
      </c>
      <c r="M25" s="221" t="s">
        <v>885</v>
      </c>
      <c r="N25" s="221" t="s">
        <v>885</v>
      </c>
      <c r="O25" s="221" t="s">
        <v>885</v>
      </c>
      <c r="P25" s="221" t="s">
        <v>885</v>
      </c>
      <c r="Q25" s="221" t="s">
        <v>885</v>
      </c>
      <c r="R25" s="221" t="s">
        <v>885</v>
      </c>
      <c r="S25" s="221" t="s">
        <v>885</v>
      </c>
      <c r="T25" s="221" t="s">
        <v>885</v>
      </c>
      <c r="U25" s="224" t="s">
        <v>885</v>
      </c>
      <c r="V25" s="225" t="s">
        <v>885</v>
      </c>
      <c r="W25" s="84"/>
      <c r="X25" s="84"/>
      <c r="Y25" s="226"/>
      <c r="Z25" s="226"/>
      <c r="AA25" s="226"/>
    </row>
    <row r="26" spans="1:27" ht="15" customHeight="1" x14ac:dyDescent="0.25">
      <c r="A26" s="1262">
        <v>12</v>
      </c>
      <c r="B26" s="1287" t="s">
        <v>2171</v>
      </c>
      <c r="C26" s="1288" t="s">
        <v>2156</v>
      </c>
      <c r="D26" s="1288" t="s">
        <v>2170</v>
      </c>
      <c r="E26" s="1291" t="s">
        <v>2158</v>
      </c>
      <c r="F26" s="1269" t="s">
        <v>2037</v>
      </c>
      <c r="G26" s="1284" t="s">
        <v>2159</v>
      </c>
      <c r="H26" s="1285" t="s">
        <v>2102</v>
      </c>
      <c r="I26" s="1273" t="s">
        <v>2149</v>
      </c>
      <c r="J26" s="219" t="s">
        <v>2150</v>
      </c>
      <c r="K26" s="221" t="s">
        <v>885</v>
      </c>
      <c r="L26" s="221" t="s">
        <v>885</v>
      </c>
      <c r="M26" s="221" t="s">
        <v>885</v>
      </c>
      <c r="N26" s="221" t="s">
        <v>885</v>
      </c>
      <c r="O26" s="221" t="s">
        <v>885</v>
      </c>
      <c r="P26" s="221" t="s">
        <v>885</v>
      </c>
      <c r="Q26" s="220">
        <v>1</v>
      </c>
      <c r="R26" s="221" t="s">
        <v>885</v>
      </c>
      <c r="S26" s="221" t="s">
        <v>885</v>
      </c>
      <c r="T26" s="221" t="s">
        <v>885</v>
      </c>
      <c r="U26" s="224" t="s">
        <v>885</v>
      </c>
      <c r="V26" s="225" t="s">
        <v>885</v>
      </c>
      <c r="W26" s="84"/>
      <c r="X26" s="84"/>
      <c r="Y26" s="226"/>
      <c r="Z26" s="226"/>
      <c r="AA26" s="226"/>
    </row>
    <row r="27" spans="1:27" x14ac:dyDescent="0.25">
      <c r="A27" s="1263"/>
      <c r="B27" s="1265"/>
      <c r="C27" s="1267"/>
      <c r="D27" s="1267"/>
      <c r="E27" s="1292"/>
      <c r="F27" s="1270"/>
      <c r="G27" s="1272"/>
      <c r="H27" s="1274"/>
      <c r="I27" s="1274"/>
      <c r="J27" s="227" t="s">
        <v>2151</v>
      </c>
      <c r="K27" s="221" t="s">
        <v>885</v>
      </c>
      <c r="L27" s="221" t="s">
        <v>885</v>
      </c>
      <c r="M27" s="221" t="s">
        <v>885</v>
      </c>
      <c r="N27" s="221" t="s">
        <v>885</v>
      </c>
      <c r="O27" s="221" t="s">
        <v>885</v>
      </c>
      <c r="P27" s="221" t="s">
        <v>885</v>
      </c>
      <c r="Q27" s="221" t="s">
        <v>885</v>
      </c>
      <c r="R27" s="221" t="s">
        <v>885</v>
      </c>
      <c r="S27" s="221" t="s">
        <v>885</v>
      </c>
      <c r="T27" s="221" t="s">
        <v>885</v>
      </c>
      <c r="U27" s="224" t="s">
        <v>885</v>
      </c>
      <c r="V27" s="225" t="s">
        <v>885</v>
      </c>
      <c r="W27" s="84"/>
      <c r="X27" s="84"/>
      <c r="Y27" s="226"/>
      <c r="Z27" s="226"/>
      <c r="AA27" s="226"/>
    </row>
    <row r="28" spans="1:27" ht="15" customHeight="1" x14ac:dyDescent="0.25">
      <c r="A28" s="1286">
        <v>13</v>
      </c>
      <c r="B28" s="1296" t="s">
        <v>2172</v>
      </c>
      <c r="C28" s="1288" t="s">
        <v>2156</v>
      </c>
      <c r="D28" s="1288" t="s">
        <v>2173</v>
      </c>
      <c r="E28" s="1291" t="s">
        <v>2158</v>
      </c>
      <c r="F28" s="1269" t="s">
        <v>2037</v>
      </c>
      <c r="G28" s="1284" t="s">
        <v>2159</v>
      </c>
      <c r="H28" s="1285" t="s">
        <v>2102</v>
      </c>
      <c r="I28" s="1273" t="s">
        <v>2149</v>
      </c>
      <c r="J28" s="219" t="s">
        <v>2150</v>
      </c>
      <c r="K28" s="221" t="s">
        <v>885</v>
      </c>
      <c r="L28" s="221" t="s">
        <v>885</v>
      </c>
      <c r="M28" s="220"/>
      <c r="N28" s="221" t="s">
        <v>885</v>
      </c>
      <c r="O28" s="341">
        <v>1</v>
      </c>
      <c r="P28" s="221" t="s">
        <v>885</v>
      </c>
      <c r="Q28" s="221" t="s">
        <v>885</v>
      </c>
      <c r="R28" s="221" t="s">
        <v>885</v>
      </c>
      <c r="S28" s="221" t="s">
        <v>885</v>
      </c>
      <c r="T28" s="221" t="s">
        <v>885</v>
      </c>
      <c r="U28" s="224" t="s">
        <v>885</v>
      </c>
      <c r="V28" s="225" t="s">
        <v>885</v>
      </c>
      <c r="W28" s="84"/>
      <c r="X28" s="84"/>
      <c r="Y28" s="226"/>
      <c r="Z28" s="226"/>
      <c r="AA28" s="226"/>
    </row>
    <row r="29" spans="1:27" x14ac:dyDescent="0.25">
      <c r="A29" s="1263"/>
      <c r="B29" s="1297"/>
      <c r="C29" s="1267"/>
      <c r="D29" s="1267"/>
      <c r="E29" s="1292"/>
      <c r="F29" s="1270"/>
      <c r="G29" s="1272"/>
      <c r="H29" s="1274"/>
      <c r="I29" s="1274"/>
      <c r="J29" s="227" t="s">
        <v>2151</v>
      </c>
      <c r="K29" s="221" t="s">
        <v>885</v>
      </c>
      <c r="L29" s="233" t="s">
        <v>885</v>
      </c>
      <c r="M29" s="221"/>
      <c r="N29" s="221" t="s">
        <v>885</v>
      </c>
      <c r="O29" s="342" t="s">
        <v>885</v>
      </c>
      <c r="P29" s="221" t="s">
        <v>885</v>
      </c>
      <c r="Q29" s="221" t="s">
        <v>885</v>
      </c>
      <c r="R29" s="221" t="s">
        <v>885</v>
      </c>
      <c r="S29" s="221" t="s">
        <v>885</v>
      </c>
      <c r="T29" s="221" t="s">
        <v>885</v>
      </c>
      <c r="U29" s="224" t="s">
        <v>885</v>
      </c>
      <c r="V29" s="225" t="s">
        <v>885</v>
      </c>
      <c r="W29" s="84"/>
      <c r="X29" s="84"/>
      <c r="Y29" s="226"/>
      <c r="Z29" s="226"/>
      <c r="AA29" s="226"/>
    </row>
    <row r="30" spans="1:27" ht="15" customHeight="1" x14ac:dyDescent="0.25">
      <c r="A30" s="1262">
        <v>14</v>
      </c>
      <c r="B30" s="1296" t="s">
        <v>2174</v>
      </c>
      <c r="C30" s="1288" t="s">
        <v>2156</v>
      </c>
      <c r="D30" s="1288" t="s">
        <v>2173</v>
      </c>
      <c r="E30" s="1291" t="s">
        <v>2158</v>
      </c>
      <c r="F30" s="1269" t="s">
        <v>2037</v>
      </c>
      <c r="G30" s="1284" t="s">
        <v>2159</v>
      </c>
      <c r="H30" s="1285" t="s">
        <v>2102</v>
      </c>
      <c r="I30" s="1273" t="s">
        <v>2149</v>
      </c>
      <c r="J30" s="219" t="s">
        <v>2150</v>
      </c>
      <c r="K30" s="224" t="s">
        <v>885</v>
      </c>
      <c r="L30" s="234" t="s">
        <v>885</v>
      </c>
      <c r="M30" s="220"/>
      <c r="N30" s="224" t="s">
        <v>885</v>
      </c>
      <c r="O30" s="341">
        <v>1</v>
      </c>
      <c r="P30" s="221" t="s">
        <v>885</v>
      </c>
      <c r="Q30" s="221" t="s">
        <v>885</v>
      </c>
      <c r="R30" s="221" t="s">
        <v>885</v>
      </c>
      <c r="S30" s="221" t="s">
        <v>885</v>
      </c>
      <c r="T30" s="221" t="s">
        <v>885</v>
      </c>
      <c r="U30" s="224" t="s">
        <v>885</v>
      </c>
      <c r="V30" s="225" t="s">
        <v>885</v>
      </c>
      <c r="W30" s="84"/>
      <c r="X30" s="84"/>
      <c r="Y30" s="226"/>
      <c r="Z30" s="226"/>
      <c r="AA30" s="226"/>
    </row>
    <row r="31" spans="1:27" x14ac:dyDescent="0.25">
      <c r="A31" s="1263"/>
      <c r="B31" s="1297"/>
      <c r="C31" s="1267"/>
      <c r="D31" s="1267"/>
      <c r="E31" s="1292"/>
      <c r="F31" s="1270"/>
      <c r="G31" s="1272"/>
      <c r="H31" s="1274"/>
      <c r="I31" s="1274"/>
      <c r="J31" s="227" t="s">
        <v>2151</v>
      </c>
      <c r="K31" s="224" t="s">
        <v>885</v>
      </c>
      <c r="L31" s="235" t="s">
        <v>885</v>
      </c>
      <c r="M31" s="221"/>
      <c r="N31" s="224" t="s">
        <v>885</v>
      </c>
      <c r="O31" s="342" t="s">
        <v>885</v>
      </c>
      <c r="P31" s="221" t="s">
        <v>885</v>
      </c>
      <c r="Q31" s="221" t="s">
        <v>885</v>
      </c>
      <c r="R31" s="221" t="s">
        <v>885</v>
      </c>
      <c r="S31" s="221" t="s">
        <v>885</v>
      </c>
      <c r="T31" s="221" t="s">
        <v>885</v>
      </c>
      <c r="U31" s="224" t="s">
        <v>885</v>
      </c>
      <c r="V31" s="225" t="s">
        <v>885</v>
      </c>
      <c r="W31" s="84"/>
      <c r="X31" s="84"/>
      <c r="Y31" s="226"/>
      <c r="Z31" s="226"/>
      <c r="AA31" s="226"/>
    </row>
    <row r="32" spans="1:27" ht="15" customHeight="1" x14ac:dyDescent="0.25">
      <c r="A32" s="1286">
        <v>15</v>
      </c>
      <c r="B32" s="1296" t="s">
        <v>2175</v>
      </c>
      <c r="C32" s="1288" t="s">
        <v>2156</v>
      </c>
      <c r="D32" s="1288" t="s">
        <v>2173</v>
      </c>
      <c r="E32" s="1291" t="s">
        <v>2158</v>
      </c>
      <c r="F32" s="1269" t="s">
        <v>2037</v>
      </c>
      <c r="G32" s="1284" t="s">
        <v>2159</v>
      </c>
      <c r="H32" s="1285" t="s">
        <v>2102</v>
      </c>
      <c r="I32" s="1273" t="s">
        <v>2149</v>
      </c>
      <c r="J32" s="219" t="s">
        <v>2150</v>
      </c>
      <c r="K32" s="221" t="s">
        <v>885</v>
      </c>
      <c r="L32" s="221"/>
      <c r="M32" s="220"/>
      <c r="N32" s="221" t="s">
        <v>885</v>
      </c>
      <c r="O32" s="341">
        <v>1</v>
      </c>
      <c r="P32" s="221" t="s">
        <v>885</v>
      </c>
      <c r="Q32" s="221" t="s">
        <v>885</v>
      </c>
      <c r="R32" s="221" t="s">
        <v>885</v>
      </c>
      <c r="S32" s="221" t="s">
        <v>885</v>
      </c>
      <c r="T32" s="221" t="s">
        <v>885</v>
      </c>
      <c r="U32" s="224" t="s">
        <v>885</v>
      </c>
      <c r="V32" s="225" t="s">
        <v>885</v>
      </c>
      <c r="W32" s="84"/>
      <c r="X32" s="84"/>
      <c r="Y32" s="226"/>
      <c r="Z32" s="226"/>
      <c r="AA32" s="226"/>
    </row>
    <row r="33" spans="1:27" x14ac:dyDescent="0.25">
      <c r="A33" s="1263"/>
      <c r="B33" s="1297"/>
      <c r="C33" s="1267"/>
      <c r="D33" s="1267"/>
      <c r="E33" s="1292"/>
      <c r="F33" s="1270"/>
      <c r="G33" s="1272"/>
      <c r="H33" s="1274"/>
      <c r="I33" s="1274"/>
      <c r="J33" s="227" t="s">
        <v>2151</v>
      </c>
      <c r="K33" s="221" t="s">
        <v>885</v>
      </c>
      <c r="L33" s="221" t="s">
        <v>885</v>
      </c>
      <c r="M33" s="221" t="s">
        <v>885</v>
      </c>
      <c r="N33" s="221" t="s">
        <v>885</v>
      </c>
      <c r="O33" s="221" t="s">
        <v>885</v>
      </c>
      <c r="P33" s="221" t="s">
        <v>885</v>
      </c>
      <c r="Q33" s="221" t="s">
        <v>885</v>
      </c>
      <c r="R33" s="221" t="s">
        <v>885</v>
      </c>
      <c r="S33" s="221" t="s">
        <v>885</v>
      </c>
      <c r="T33" s="221" t="s">
        <v>885</v>
      </c>
      <c r="U33" s="224" t="s">
        <v>885</v>
      </c>
      <c r="V33" s="225" t="s">
        <v>885</v>
      </c>
      <c r="W33" s="84"/>
      <c r="X33" s="84"/>
      <c r="Y33" s="226"/>
      <c r="Z33" s="226"/>
      <c r="AA33" s="226"/>
    </row>
    <row r="34" spans="1:27" ht="15" customHeight="1" x14ac:dyDescent="0.25">
      <c r="A34" s="1262">
        <v>16</v>
      </c>
      <c r="B34" s="1298" t="s">
        <v>2176</v>
      </c>
      <c r="C34" s="1288" t="s">
        <v>2156</v>
      </c>
      <c r="D34" s="1289" t="s">
        <v>2157</v>
      </c>
      <c r="E34" s="1291" t="s">
        <v>2158</v>
      </c>
      <c r="F34" s="1269" t="s">
        <v>2037</v>
      </c>
      <c r="G34" s="1284" t="s">
        <v>2159</v>
      </c>
      <c r="H34" s="1285" t="s">
        <v>2102</v>
      </c>
      <c r="I34" s="1273" t="s">
        <v>2149</v>
      </c>
      <c r="J34" s="219" t="s">
        <v>2150</v>
      </c>
      <c r="K34" s="221" t="s">
        <v>885</v>
      </c>
      <c r="L34" s="221" t="s">
        <v>885</v>
      </c>
      <c r="M34" s="221" t="s">
        <v>885</v>
      </c>
      <c r="N34" s="221" t="s">
        <v>885</v>
      </c>
      <c r="O34" s="220">
        <v>1</v>
      </c>
      <c r="P34" s="221" t="s">
        <v>885</v>
      </c>
      <c r="Q34" s="221" t="s">
        <v>885</v>
      </c>
      <c r="R34" s="221" t="s">
        <v>885</v>
      </c>
      <c r="S34" s="221" t="s">
        <v>885</v>
      </c>
      <c r="T34" s="221" t="s">
        <v>885</v>
      </c>
      <c r="U34" s="224" t="s">
        <v>885</v>
      </c>
      <c r="V34" s="225" t="s">
        <v>885</v>
      </c>
      <c r="W34" s="84"/>
      <c r="X34" s="84"/>
      <c r="Y34" s="226"/>
      <c r="Z34" s="226"/>
      <c r="AA34" s="226"/>
    </row>
    <row r="35" spans="1:27" x14ac:dyDescent="0.25">
      <c r="A35" s="1263"/>
      <c r="B35" s="1299"/>
      <c r="C35" s="1267"/>
      <c r="D35" s="1290"/>
      <c r="E35" s="1292"/>
      <c r="F35" s="1270"/>
      <c r="G35" s="1272"/>
      <c r="H35" s="1274"/>
      <c r="I35" s="1274"/>
      <c r="J35" s="227" t="s">
        <v>2151</v>
      </c>
      <c r="K35" s="221" t="s">
        <v>885</v>
      </c>
      <c r="L35" s="221" t="s">
        <v>885</v>
      </c>
      <c r="M35" s="221" t="s">
        <v>885</v>
      </c>
      <c r="N35" s="221" t="s">
        <v>885</v>
      </c>
      <c r="O35" s="221" t="s">
        <v>885</v>
      </c>
      <c r="P35" s="221" t="s">
        <v>885</v>
      </c>
      <c r="Q35" s="221" t="s">
        <v>885</v>
      </c>
      <c r="R35" s="221" t="s">
        <v>885</v>
      </c>
      <c r="S35" s="221" t="s">
        <v>885</v>
      </c>
      <c r="T35" s="221" t="s">
        <v>885</v>
      </c>
      <c r="U35" s="224" t="s">
        <v>885</v>
      </c>
      <c r="V35" s="225" t="s">
        <v>885</v>
      </c>
      <c r="W35" s="84"/>
      <c r="X35" s="84"/>
      <c r="Y35" s="226"/>
      <c r="Z35" s="226"/>
      <c r="AA35" s="226"/>
    </row>
    <row r="36" spans="1:27" ht="15" customHeight="1" x14ac:dyDescent="0.25">
      <c r="A36" s="1262">
        <v>18</v>
      </c>
      <c r="B36" s="1300" t="s">
        <v>2177</v>
      </c>
      <c r="C36" s="1288" t="s">
        <v>2156</v>
      </c>
      <c r="D36" s="1302" t="s">
        <v>2178</v>
      </c>
      <c r="E36" s="1291" t="s">
        <v>2158</v>
      </c>
      <c r="F36" s="1269" t="s">
        <v>2037</v>
      </c>
      <c r="G36" s="1284" t="s">
        <v>2179</v>
      </c>
      <c r="H36" s="1304" t="s">
        <v>2180</v>
      </c>
      <c r="I36" s="1273" t="s">
        <v>2149</v>
      </c>
      <c r="J36" s="219" t="s">
        <v>2150</v>
      </c>
      <c r="K36" s="221" t="s">
        <v>885</v>
      </c>
      <c r="L36" s="221" t="s">
        <v>885</v>
      </c>
      <c r="M36" s="221" t="s">
        <v>885</v>
      </c>
      <c r="N36" s="221" t="s">
        <v>885</v>
      </c>
      <c r="O36" s="221" t="s">
        <v>885</v>
      </c>
      <c r="P36" s="220">
        <v>1</v>
      </c>
      <c r="Q36" s="221" t="s">
        <v>885</v>
      </c>
      <c r="R36" s="221" t="s">
        <v>885</v>
      </c>
      <c r="S36" s="221" t="s">
        <v>885</v>
      </c>
      <c r="T36" s="221" t="s">
        <v>885</v>
      </c>
      <c r="U36" s="224" t="s">
        <v>885</v>
      </c>
      <c r="V36" s="225" t="s">
        <v>885</v>
      </c>
      <c r="W36" s="84"/>
      <c r="X36" s="84"/>
      <c r="Y36" s="226"/>
      <c r="Z36" s="226"/>
      <c r="AA36" s="226"/>
    </row>
    <row r="37" spans="1:27" x14ac:dyDescent="0.25">
      <c r="A37" s="1263"/>
      <c r="B37" s="1301"/>
      <c r="C37" s="1267"/>
      <c r="D37" s="1303"/>
      <c r="E37" s="1292"/>
      <c r="F37" s="1270"/>
      <c r="G37" s="1272"/>
      <c r="H37" s="1305"/>
      <c r="I37" s="1274"/>
      <c r="J37" s="227" t="s">
        <v>2151</v>
      </c>
      <c r="K37" s="221" t="s">
        <v>885</v>
      </c>
      <c r="L37" s="221" t="s">
        <v>885</v>
      </c>
      <c r="M37" s="221" t="s">
        <v>885</v>
      </c>
      <c r="N37" s="221" t="s">
        <v>885</v>
      </c>
      <c r="O37" s="221" t="s">
        <v>885</v>
      </c>
      <c r="P37" s="221" t="s">
        <v>885</v>
      </c>
      <c r="Q37" s="221" t="s">
        <v>885</v>
      </c>
      <c r="R37" s="221" t="s">
        <v>885</v>
      </c>
      <c r="S37" s="221" t="s">
        <v>885</v>
      </c>
      <c r="T37" s="221" t="s">
        <v>885</v>
      </c>
      <c r="U37" s="224" t="s">
        <v>885</v>
      </c>
      <c r="V37" s="225" t="s">
        <v>885</v>
      </c>
      <c r="W37" s="84"/>
      <c r="X37" s="84"/>
      <c r="Y37" s="226"/>
      <c r="Z37" s="226"/>
      <c r="AA37" s="226"/>
    </row>
    <row r="38" spans="1:27" ht="15" customHeight="1" x14ac:dyDescent="0.25">
      <c r="A38" s="1286">
        <v>19</v>
      </c>
      <c r="B38" s="1300" t="s">
        <v>2181</v>
      </c>
      <c r="C38" s="1288" t="s">
        <v>2156</v>
      </c>
      <c r="D38" s="1302" t="s">
        <v>2178</v>
      </c>
      <c r="E38" s="1291" t="s">
        <v>2158</v>
      </c>
      <c r="F38" s="1269" t="s">
        <v>2037</v>
      </c>
      <c r="G38" s="1284" t="s">
        <v>2179</v>
      </c>
      <c r="H38" s="1304" t="s">
        <v>2180</v>
      </c>
      <c r="I38" s="1273" t="s">
        <v>2149</v>
      </c>
      <c r="J38" s="219" t="s">
        <v>2150</v>
      </c>
      <c r="K38" s="221" t="s">
        <v>885</v>
      </c>
      <c r="L38" s="221" t="s">
        <v>885</v>
      </c>
      <c r="M38" s="221" t="s">
        <v>885</v>
      </c>
      <c r="N38" s="221" t="s">
        <v>885</v>
      </c>
      <c r="O38" s="221" t="s">
        <v>885</v>
      </c>
      <c r="P38" s="221" t="s">
        <v>885</v>
      </c>
      <c r="Q38" s="221" t="s">
        <v>885</v>
      </c>
      <c r="R38" s="220">
        <v>1</v>
      </c>
      <c r="S38" s="221" t="s">
        <v>885</v>
      </c>
      <c r="T38" s="221" t="s">
        <v>885</v>
      </c>
      <c r="U38" s="224" t="s">
        <v>885</v>
      </c>
      <c r="V38" s="225" t="s">
        <v>885</v>
      </c>
      <c r="W38" s="84"/>
      <c r="X38" s="84"/>
      <c r="Y38" s="226"/>
      <c r="Z38" s="226"/>
      <c r="AA38" s="226"/>
    </row>
    <row r="39" spans="1:27" x14ac:dyDescent="0.25">
      <c r="A39" s="1263"/>
      <c r="B39" s="1301"/>
      <c r="C39" s="1267"/>
      <c r="D39" s="1303"/>
      <c r="E39" s="1292"/>
      <c r="F39" s="1270"/>
      <c r="G39" s="1272"/>
      <c r="H39" s="1305"/>
      <c r="I39" s="1274"/>
      <c r="J39" s="227" t="s">
        <v>2151</v>
      </c>
      <c r="K39" s="221" t="s">
        <v>885</v>
      </c>
      <c r="L39" s="221" t="s">
        <v>885</v>
      </c>
      <c r="M39" s="221" t="s">
        <v>885</v>
      </c>
      <c r="N39" s="221" t="s">
        <v>885</v>
      </c>
      <c r="O39" s="221" t="s">
        <v>885</v>
      </c>
      <c r="P39" s="221" t="s">
        <v>885</v>
      </c>
      <c r="Q39" s="221" t="s">
        <v>885</v>
      </c>
      <c r="R39" s="221" t="s">
        <v>885</v>
      </c>
      <c r="S39" s="221" t="s">
        <v>885</v>
      </c>
      <c r="T39" s="221" t="s">
        <v>885</v>
      </c>
      <c r="U39" s="224" t="s">
        <v>885</v>
      </c>
      <c r="V39" s="225" t="s">
        <v>885</v>
      </c>
      <c r="W39" s="84"/>
      <c r="X39" s="84"/>
      <c r="Y39" s="226"/>
      <c r="Z39" s="226"/>
      <c r="AA39" s="226"/>
    </row>
    <row r="40" spans="1:27" ht="15" customHeight="1" x14ac:dyDescent="0.25">
      <c r="A40" s="1262">
        <v>20</v>
      </c>
      <c r="B40" s="1300" t="s">
        <v>2182</v>
      </c>
      <c r="C40" s="1288" t="s">
        <v>2156</v>
      </c>
      <c r="D40" s="1289" t="s">
        <v>2157</v>
      </c>
      <c r="E40" s="1291" t="s">
        <v>2158</v>
      </c>
      <c r="F40" s="1269" t="s">
        <v>2037</v>
      </c>
      <c r="G40" s="1284" t="s">
        <v>2179</v>
      </c>
      <c r="H40" s="1304" t="s">
        <v>2180</v>
      </c>
      <c r="I40" s="1273" t="s">
        <v>2149</v>
      </c>
      <c r="J40" s="219" t="s">
        <v>2150</v>
      </c>
      <c r="K40" s="221" t="s">
        <v>885</v>
      </c>
      <c r="L40" s="221" t="s">
        <v>885</v>
      </c>
      <c r="M40" s="221" t="s">
        <v>885</v>
      </c>
      <c r="N40" s="221" t="s">
        <v>885</v>
      </c>
      <c r="O40" s="221" t="s">
        <v>885</v>
      </c>
      <c r="P40" s="221" t="s">
        <v>885</v>
      </c>
      <c r="Q40" s="221" t="s">
        <v>885</v>
      </c>
      <c r="R40" s="221"/>
      <c r="S40" s="220">
        <v>1</v>
      </c>
      <c r="T40" s="221" t="s">
        <v>885</v>
      </c>
      <c r="U40" s="224" t="s">
        <v>885</v>
      </c>
      <c r="V40" s="225" t="s">
        <v>885</v>
      </c>
      <c r="W40" s="84"/>
      <c r="X40" s="84"/>
      <c r="Y40" s="226"/>
      <c r="Z40" s="226"/>
      <c r="AA40" s="226"/>
    </row>
    <row r="41" spans="1:27" x14ac:dyDescent="0.25">
      <c r="A41" s="1263"/>
      <c r="B41" s="1301"/>
      <c r="C41" s="1267"/>
      <c r="D41" s="1290"/>
      <c r="E41" s="1292"/>
      <c r="F41" s="1270"/>
      <c r="G41" s="1272"/>
      <c r="H41" s="1305"/>
      <c r="I41" s="1274"/>
      <c r="J41" s="227" t="s">
        <v>2151</v>
      </c>
      <c r="K41" s="221" t="s">
        <v>885</v>
      </c>
      <c r="L41" s="221" t="s">
        <v>885</v>
      </c>
      <c r="M41" s="221" t="s">
        <v>885</v>
      </c>
      <c r="N41" s="221" t="s">
        <v>885</v>
      </c>
      <c r="O41" s="221" t="s">
        <v>885</v>
      </c>
      <c r="P41" s="221" t="s">
        <v>885</v>
      </c>
      <c r="Q41" s="221" t="s">
        <v>885</v>
      </c>
      <c r="R41" s="221" t="s">
        <v>885</v>
      </c>
      <c r="S41" s="221" t="s">
        <v>885</v>
      </c>
      <c r="T41" s="221" t="s">
        <v>885</v>
      </c>
      <c r="U41" s="224" t="s">
        <v>885</v>
      </c>
      <c r="V41" s="225" t="s">
        <v>885</v>
      </c>
      <c r="W41" s="84"/>
      <c r="X41" s="84"/>
      <c r="Y41" s="226"/>
      <c r="Z41" s="226"/>
      <c r="AA41" s="226"/>
    </row>
    <row r="42" spans="1:27" ht="15" customHeight="1" x14ac:dyDescent="0.25">
      <c r="A42" s="1262">
        <v>22</v>
      </c>
      <c r="B42" s="1298" t="s">
        <v>2183</v>
      </c>
      <c r="C42" s="1288" t="s">
        <v>2156</v>
      </c>
      <c r="D42" s="1288" t="s">
        <v>2173</v>
      </c>
      <c r="E42" s="1291" t="s">
        <v>2158</v>
      </c>
      <c r="F42" s="1269" t="s">
        <v>2037</v>
      </c>
      <c r="G42" s="1284" t="s">
        <v>2159</v>
      </c>
      <c r="H42" s="1304" t="s">
        <v>2102</v>
      </c>
      <c r="I42" s="1273" t="s">
        <v>2149</v>
      </c>
      <c r="J42" s="219" t="s">
        <v>2150</v>
      </c>
      <c r="K42" s="221" t="s">
        <v>885</v>
      </c>
      <c r="L42" s="221" t="s">
        <v>885</v>
      </c>
      <c r="M42" s="221" t="s">
        <v>885</v>
      </c>
      <c r="N42" s="220"/>
      <c r="O42" s="341"/>
      <c r="P42" s="341">
        <v>1</v>
      </c>
      <c r="Q42" s="221" t="s">
        <v>885</v>
      </c>
      <c r="R42" s="221" t="s">
        <v>885</v>
      </c>
      <c r="S42" s="221" t="s">
        <v>885</v>
      </c>
      <c r="T42" s="221" t="s">
        <v>885</v>
      </c>
      <c r="U42" s="224" t="s">
        <v>885</v>
      </c>
      <c r="V42" s="225" t="s">
        <v>885</v>
      </c>
      <c r="W42" s="84"/>
      <c r="X42" s="84"/>
      <c r="Y42" s="226"/>
      <c r="Z42" s="226"/>
      <c r="AA42" s="226"/>
    </row>
    <row r="43" spans="1:27" x14ac:dyDescent="0.25">
      <c r="A43" s="1263"/>
      <c r="B43" s="1299"/>
      <c r="C43" s="1267"/>
      <c r="D43" s="1267"/>
      <c r="E43" s="1292"/>
      <c r="F43" s="1270"/>
      <c r="G43" s="1272"/>
      <c r="H43" s="1305"/>
      <c r="I43" s="1274"/>
      <c r="J43" s="227" t="s">
        <v>2151</v>
      </c>
      <c r="K43" s="221" t="s">
        <v>885</v>
      </c>
      <c r="L43" s="221" t="s">
        <v>885</v>
      </c>
      <c r="M43" s="221" t="s">
        <v>885</v>
      </c>
      <c r="N43" s="221" t="s">
        <v>885</v>
      </c>
      <c r="O43" s="221" t="s">
        <v>885</v>
      </c>
      <c r="P43" s="221" t="s">
        <v>885</v>
      </c>
      <c r="Q43" s="221" t="s">
        <v>885</v>
      </c>
      <c r="R43" s="221" t="s">
        <v>885</v>
      </c>
      <c r="S43" s="221" t="s">
        <v>885</v>
      </c>
      <c r="T43" s="221" t="s">
        <v>885</v>
      </c>
      <c r="U43" s="224" t="s">
        <v>885</v>
      </c>
      <c r="V43" s="225" t="s">
        <v>885</v>
      </c>
      <c r="W43" s="84"/>
      <c r="X43" s="84"/>
      <c r="Y43" s="226"/>
      <c r="Z43" s="226"/>
      <c r="AA43" s="226"/>
    </row>
    <row r="44" spans="1:27" ht="15" customHeight="1" x14ac:dyDescent="0.25">
      <c r="A44" s="1286">
        <v>23</v>
      </c>
      <c r="B44" s="1300" t="s">
        <v>2184</v>
      </c>
      <c r="C44" s="1288" t="s">
        <v>2156</v>
      </c>
      <c r="D44" s="1288" t="s">
        <v>2173</v>
      </c>
      <c r="E44" s="1291" t="s">
        <v>2158</v>
      </c>
      <c r="F44" s="1269" t="s">
        <v>2037</v>
      </c>
      <c r="G44" s="1284" t="s">
        <v>2185</v>
      </c>
      <c r="H44" s="1304" t="s">
        <v>2180</v>
      </c>
      <c r="I44" s="1273" t="s">
        <v>2149</v>
      </c>
      <c r="J44" s="219" t="s">
        <v>2150</v>
      </c>
      <c r="K44" s="221" t="s">
        <v>885</v>
      </c>
      <c r="L44" s="221" t="s">
        <v>885</v>
      </c>
      <c r="M44" s="221" t="s">
        <v>885</v>
      </c>
      <c r="N44" s="221" t="s">
        <v>885</v>
      </c>
      <c r="O44" s="220">
        <v>1</v>
      </c>
      <c r="P44" s="220"/>
      <c r="Q44" s="221" t="s">
        <v>885</v>
      </c>
      <c r="R44" s="221" t="s">
        <v>885</v>
      </c>
      <c r="S44" s="221" t="s">
        <v>885</v>
      </c>
      <c r="T44" s="221" t="s">
        <v>885</v>
      </c>
      <c r="U44" s="224" t="s">
        <v>885</v>
      </c>
      <c r="V44" s="225" t="s">
        <v>885</v>
      </c>
      <c r="W44" s="84"/>
      <c r="X44" s="84"/>
      <c r="Y44" s="226"/>
      <c r="Z44" s="226"/>
      <c r="AA44" s="226"/>
    </row>
    <row r="45" spans="1:27" x14ac:dyDescent="0.25">
      <c r="A45" s="1263"/>
      <c r="B45" s="1301"/>
      <c r="C45" s="1267"/>
      <c r="D45" s="1267"/>
      <c r="E45" s="1292"/>
      <c r="F45" s="1270"/>
      <c r="G45" s="1272"/>
      <c r="H45" s="1305"/>
      <c r="I45" s="1274"/>
      <c r="J45" s="227" t="s">
        <v>2151</v>
      </c>
      <c r="K45" s="221" t="s">
        <v>885</v>
      </c>
      <c r="L45" s="221" t="s">
        <v>885</v>
      </c>
      <c r="M45" s="221" t="s">
        <v>885</v>
      </c>
      <c r="N45" s="221" t="s">
        <v>885</v>
      </c>
      <c r="O45" s="221" t="s">
        <v>885</v>
      </c>
      <c r="P45" s="221" t="s">
        <v>885</v>
      </c>
      <c r="Q45" s="221" t="s">
        <v>885</v>
      </c>
      <c r="R45" s="221" t="s">
        <v>885</v>
      </c>
      <c r="S45" s="221" t="s">
        <v>885</v>
      </c>
      <c r="T45" s="221" t="s">
        <v>885</v>
      </c>
      <c r="U45" s="224" t="s">
        <v>885</v>
      </c>
      <c r="V45" s="225" t="s">
        <v>885</v>
      </c>
      <c r="W45" s="84"/>
      <c r="X45" s="84"/>
      <c r="Y45" s="226"/>
      <c r="Z45" s="226"/>
      <c r="AA45" s="226"/>
    </row>
    <row r="46" spans="1:27" ht="15" customHeight="1" x14ac:dyDescent="0.25">
      <c r="A46" s="1262">
        <v>24</v>
      </c>
      <c r="B46" s="1300" t="s">
        <v>2186</v>
      </c>
      <c r="C46" s="1288" t="s">
        <v>2156</v>
      </c>
      <c r="D46" s="1289" t="s">
        <v>2157</v>
      </c>
      <c r="E46" s="1291" t="s">
        <v>2158</v>
      </c>
      <c r="F46" s="1269" t="s">
        <v>2037</v>
      </c>
      <c r="G46" s="1284" t="s">
        <v>2159</v>
      </c>
      <c r="H46" s="1304" t="s">
        <v>2102</v>
      </c>
      <c r="I46" s="1273" t="s">
        <v>2149</v>
      </c>
      <c r="J46" s="219" t="s">
        <v>2150</v>
      </c>
      <c r="K46" s="221" t="s">
        <v>885</v>
      </c>
      <c r="L46" s="221" t="s">
        <v>885</v>
      </c>
      <c r="M46" s="221" t="s">
        <v>885</v>
      </c>
      <c r="N46" s="221" t="s">
        <v>885</v>
      </c>
      <c r="O46" s="221" t="s">
        <v>885</v>
      </c>
      <c r="P46" s="221" t="s">
        <v>885</v>
      </c>
      <c r="Q46" s="231">
        <v>1</v>
      </c>
      <c r="R46" s="221" t="s">
        <v>885</v>
      </c>
      <c r="S46" s="221" t="s">
        <v>885</v>
      </c>
      <c r="T46" s="221" t="s">
        <v>885</v>
      </c>
      <c r="U46" s="224" t="s">
        <v>885</v>
      </c>
      <c r="V46" s="231"/>
      <c r="W46" s="84"/>
      <c r="X46" s="84"/>
      <c r="Y46" s="226"/>
      <c r="Z46" s="226"/>
      <c r="AA46" s="226"/>
    </row>
    <row r="47" spans="1:27" x14ac:dyDescent="0.25">
      <c r="A47" s="1263"/>
      <c r="B47" s="1301"/>
      <c r="C47" s="1267"/>
      <c r="D47" s="1290"/>
      <c r="E47" s="1292"/>
      <c r="F47" s="1270"/>
      <c r="G47" s="1272"/>
      <c r="H47" s="1305"/>
      <c r="I47" s="1274"/>
      <c r="J47" s="227" t="s">
        <v>2151</v>
      </c>
      <c r="K47" s="221" t="s">
        <v>885</v>
      </c>
      <c r="L47" s="221" t="s">
        <v>885</v>
      </c>
      <c r="M47" s="221" t="s">
        <v>885</v>
      </c>
      <c r="N47" s="221" t="s">
        <v>885</v>
      </c>
      <c r="O47" s="221" t="s">
        <v>885</v>
      </c>
      <c r="P47" s="221" t="s">
        <v>885</v>
      </c>
      <c r="Q47" s="221" t="s">
        <v>885</v>
      </c>
      <c r="R47" s="221" t="s">
        <v>885</v>
      </c>
      <c r="S47" s="221" t="s">
        <v>885</v>
      </c>
      <c r="T47" s="221" t="s">
        <v>885</v>
      </c>
      <c r="U47" s="224" t="s">
        <v>885</v>
      </c>
      <c r="V47" s="225"/>
      <c r="W47" s="84"/>
      <c r="X47" s="84"/>
      <c r="Y47" s="226"/>
      <c r="Z47" s="226"/>
      <c r="AA47" s="226"/>
    </row>
    <row r="48" spans="1:27" ht="15" customHeight="1" x14ac:dyDescent="0.25">
      <c r="A48" s="1286">
        <v>25</v>
      </c>
      <c r="B48" s="1300" t="s">
        <v>2187</v>
      </c>
      <c r="C48" s="1288" t="s">
        <v>2156</v>
      </c>
      <c r="D48" s="1289" t="s">
        <v>2157</v>
      </c>
      <c r="E48" s="1291" t="s">
        <v>2158</v>
      </c>
      <c r="F48" s="1269" t="s">
        <v>2037</v>
      </c>
      <c r="G48" s="1284" t="s">
        <v>2159</v>
      </c>
      <c r="H48" s="1304" t="s">
        <v>2102</v>
      </c>
      <c r="I48" s="1273" t="s">
        <v>2149</v>
      </c>
      <c r="J48" s="219" t="s">
        <v>2150</v>
      </c>
      <c r="K48" s="221" t="s">
        <v>885</v>
      </c>
      <c r="L48" s="221" t="s">
        <v>885</v>
      </c>
      <c r="M48" s="221" t="s">
        <v>885</v>
      </c>
      <c r="N48" s="221" t="s">
        <v>885</v>
      </c>
      <c r="O48" s="221" t="s">
        <v>885</v>
      </c>
      <c r="P48" s="221" t="s">
        <v>885</v>
      </c>
      <c r="Q48" s="221" t="s">
        <v>885</v>
      </c>
      <c r="R48" s="220">
        <v>1</v>
      </c>
      <c r="S48" s="221" t="s">
        <v>885</v>
      </c>
      <c r="T48" s="221" t="s">
        <v>885</v>
      </c>
      <c r="U48" s="224" t="s">
        <v>885</v>
      </c>
      <c r="V48" s="225" t="s">
        <v>885</v>
      </c>
      <c r="W48" s="84"/>
      <c r="X48" s="84"/>
      <c r="Y48" s="226"/>
      <c r="Z48" s="226"/>
      <c r="AA48" s="226"/>
    </row>
    <row r="49" spans="1:27" x14ac:dyDescent="0.25">
      <c r="A49" s="1263"/>
      <c r="B49" s="1301"/>
      <c r="C49" s="1267"/>
      <c r="D49" s="1290"/>
      <c r="E49" s="1292"/>
      <c r="F49" s="1270"/>
      <c r="G49" s="1272"/>
      <c r="H49" s="1305"/>
      <c r="I49" s="1274"/>
      <c r="J49" s="227" t="s">
        <v>2151</v>
      </c>
      <c r="K49" s="221" t="s">
        <v>885</v>
      </c>
      <c r="L49" s="221" t="s">
        <v>885</v>
      </c>
      <c r="M49" s="221" t="s">
        <v>885</v>
      </c>
      <c r="N49" s="221" t="s">
        <v>885</v>
      </c>
      <c r="O49" s="221" t="s">
        <v>885</v>
      </c>
      <c r="P49" s="221" t="s">
        <v>885</v>
      </c>
      <c r="Q49" s="221" t="s">
        <v>885</v>
      </c>
      <c r="R49" s="221" t="s">
        <v>885</v>
      </c>
      <c r="S49" s="221" t="s">
        <v>885</v>
      </c>
      <c r="T49" s="221" t="s">
        <v>885</v>
      </c>
      <c r="U49" s="224" t="s">
        <v>885</v>
      </c>
      <c r="V49" s="225" t="s">
        <v>885</v>
      </c>
      <c r="W49" s="84"/>
      <c r="X49" s="84"/>
      <c r="Y49" s="226"/>
      <c r="Z49" s="226"/>
      <c r="AA49" s="226"/>
    </row>
    <row r="50" spans="1:27" ht="15" customHeight="1" x14ac:dyDescent="0.25">
      <c r="A50" s="1262">
        <v>26</v>
      </c>
      <c r="B50" s="1298" t="s">
        <v>2188</v>
      </c>
      <c r="C50" s="1288" t="s">
        <v>2156</v>
      </c>
      <c r="D50" s="1302" t="s">
        <v>2178</v>
      </c>
      <c r="E50" s="1291" t="s">
        <v>2158</v>
      </c>
      <c r="F50" s="1269" t="s">
        <v>2037</v>
      </c>
      <c r="G50" s="1284" t="s">
        <v>2179</v>
      </c>
      <c r="H50" s="1304" t="s">
        <v>2180</v>
      </c>
      <c r="I50" s="1273" t="s">
        <v>2149</v>
      </c>
      <c r="J50" s="219" t="s">
        <v>2150</v>
      </c>
      <c r="K50" s="221" t="s">
        <v>885</v>
      </c>
      <c r="L50" s="220"/>
      <c r="M50" s="220"/>
      <c r="N50" s="220"/>
      <c r="O50" s="341"/>
      <c r="P50" s="341">
        <v>1</v>
      </c>
      <c r="Q50" s="341"/>
      <c r="R50" s="220"/>
      <c r="S50" s="220"/>
      <c r="T50" s="220"/>
      <c r="U50" s="230">
        <v>1</v>
      </c>
      <c r="V50" s="231"/>
      <c r="W50" s="84"/>
      <c r="X50" s="84"/>
      <c r="Y50" s="226"/>
      <c r="Z50" s="226"/>
      <c r="AA50" s="226"/>
    </row>
    <row r="51" spans="1:27" ht="15" customHeight="1" x14ac:dyDescent="0.25">
      <c r="A51" s="1263"/>
      <c r="B51" s="1299"/>
      <c r="C51" s="1267"/>
      <c r="D51" s="1303"/>
      <c r="E51" s="1292"/>
      <c r="F51" s="1270"/>
      <c r="G51" s="1272"/>
      <c r="H51" s="1305"/>
      <c r="I51" s="1274"/>
      <c r="J51" s="227" t="s">
        <v>2151</v>
      </c>
      <c r="K51" s="221" t="s">
        <v>885</v>
      </c>
      <c r="L51" s="221" t="s">
        <v>885</v>
      </c>
      <c r="M51" s="221" t="s">
        <v>885</v>
      </c>
      <c r="N51" s="221" t="s">
        <v>885</v>
      </c>
      <c r="O51" s="221" t="s">
        <v>885</v>
      </c>
      <c r="P51" s="221" t="s">
        <v>885</v>
      </c>
      <c r="Q51" s="221" t="s">
        <v>885</v>
      </c>
      <c r="R51" s="221" t="s">
        <v>885</v>
      </c>
      <c r="S51" s="221" t="s">
        <v>885</v>
      </c>
      <c r="T51" s="221" t="s">
        <v>885</v>
      </c>
      <c r="U51" s="224" t="s">
        <v>885</v>
      </c>
      <c r="V51" s="225" t="s">
        <v>885</v>
      </c>
      <c r="W51" s="84"/>
      <c r="X51" s="84"/>
      <c r="Y51" s="226"/>
      <c r="Z51" s="226"/>
      <c r="AA51" s="226"/>
    </row>
    <row r="52" spans="1:27" ht="15" customHeight="1" x14ac:dyDescent="0.25">
      <c r="A52" s="1262">
        <v>28</v>
      </c>
      <c r="B52" s="1306" t="s">
        <v>2189</v>
      </c>
      <c r="C52" s="1288" t="s">
        <v>2156</v>
      </c>
      <c r="D52" s="1302" t="s">
        <v>2178</v>
      </c>
      <c r="E52" s="1291" t="s">
        <v>2190</v>
      </c>
      <c r="F52" s="1269" t="s">
        <v>2037</v>
      </c>
      <c r="G52" s="1284" t="s">
        <v>2159</v>
      </c>
      <c r="H52" s="1304" t="s">
        <v>2102</v>
      </c>
      <c r="I52" s="1273" t="s">
        <v>2149</v>
      </c>
      <c r="J52" s="219" t="s">
        <v>2150</v>
      </c>
      <c r="K52" s="221" t="s">
        <v>885</v>
      </c>
      <c r="L52" s="221" t="s">
        <v>885</v>
      </c>
      <c r="M52" s="221" t="s">
        <v>885</v>
      </c>
      <c r="N52" s="221" t="s">
        <v>885</v>
      </c>
      <c r="O52" s="221" t="s">
        <v>885</v>
      </c>
      <c r="P52" s="221" t="s">
        <v>885</v>
      </c>
      <c r="Q52" s="221" t="s">
        <v>885</v>
      </c>
      <c r="R52" s="221"/>
      <c r="S52" s="220">
        <v>1</v>
      </c>
      <c r="T52" s="221" t="s">
        <v>885</v>
      </c>
      <c r="U52" s="224" t="s">
        <v>885</v>
      </c>
      <c r="V52" s="225" t="s">
        <v>885</v>
      </c>
      <c r="W52" s="84"/>
      <c r="X52" s="84"/>
      <c r="Y52" s="226"/>
      <c r="Z52" s="226"/>
      <c r="AA52" s="226"/>
    </row>
    <row r="53" spans="1:27" ht="15" customHeight="1" x14ac:dyDescent="0.25">
      <c r="A53" s="1263"/>
      <c r="B53" s="1307"/>
      <c r="C53" s="1267"/>
      <c r="D53" s="1303"/>
      <c r="E53" s="1292"/>
      <c r="F53" s="1270"/>
      <c r="G53" s="1272"/>
      <c r="H53" s="1305"/>
      <c r="I53" s="1274"/>
      <c r="J53" s="227" t="s">
        <v>2151</v>
      </c>
      <c r="K53" s="221" t="s">
        <v>885</v>
      </c>
      <c r="L53" s="221" t="s">
        <v>885</v>
      </c>
      <c r="M53" s="221" t="s">
        <v>885</v>
      </c>
      <c r="N53" s="221" t="s">
        <v>885</v>
      </c>
      <c r="O53" s="221" t="s">
        <v>885</v>
      </c>
      <c r="P53" s="221" t="s">
        <v>885</v>
      </c>
      <c r="Q53" s="221" t="s">
        <v>885</v>
      </c>
      <c r="R53" s="221" t="s">
        <v>885</v>
      </c>
      <c r="S53" s="221" t="s">
        <v>885</v>
      </c>
      <c r="T53" s="221" t="s">
        <v>885</v>
      </c>
      <c r="U53" s="224" t="s">
        <v>885</v>
      </c>
      <c r="V53" s="225" t="s">
        <v>885</v>
      </c>
      <c r="W53" s="84"/>
      <c r="X53" s="84"/>
      <c r="Y53" s="226"/>
      <c r="Z53" s="226"/>
      <c r="AA53" s="226"/>
    </row>
    <row r="54" spans="1:27" ht="21" customHeight="1" x14ac:dyDescent="0.25">
      <c r="A54" s="1286">
        <v>29</v>
      </c>
      <c r="B54" s="1306" t="s">
        <v>2191</v>
      </c>
      <c r="C54" s="1288" t="s">
        <v>2156</v>
      </c>
      <c r="D54" s="1302" t="s">
        <v>2178</v>
      </c>
      <c r="E54" s="1291" t="s">
        <v>2192</v>
      </c>
      <c r="F54" s="1269" t="s">
        <v>2037</v>
      </c>
      <c r="G54" s="1284" t="s">
        <v>2159</v>
      </c>
      <c r="H54" s="1304" t="s">
        <v>2102</v>
      </c>
      <c r="I54" s="1273" t="s">
        <v>2149</v>
      </c>
      <c r="J54" s="219" t="s">
        <v>2150</v>
      </c>
      <c r="K54" s="221"/>
      <c r="L54" s="221"/>
      <c r="M54" s="221"/>
      <c r="N54" s="221"/>
      <c r="O54" s="221"/>
      <c r="P54" s="220">
        <v>1</v>
      </c>
      <c r="Q54" s="221"/>
      <c r="R54" s="221"/>
      <c r="S54" s="221"/>
      <c r="T54" s="221"/>
      <c r="U54" s="220">
        <v>1</v>
      </c>
      <c r="V54" s="225"/>
      <c r="W54" s="84"/>
      <c r="X54" s="84"/>
      <c r="Y54" s="226"/>
      <c r="Z54" s="226"/>
      <c r="AA54" s="226"/>
    </row>
    <row r="55" spans="1:27" ht="27" customHeight="1" x14ac:dyDescent="0.25">
      <c r="A55" s="1263"/>
      <c r="B55" s="1307"/>
      <c r="C55" s="1267"/>
      <c r="D55" s="1303"/>
      <c r="E55" s="1292"/>
      <c r="F55" s="1270"/>
      <c r="G55" s="1272"/>
      <c r="H55" s="1305"/>
      <c r="I55" s="1274"/>
      <c r="J55" s="227" t="s">
        <v>2151</v>
      </c>
      <c r="K55" s="221"/>
      <c r="L55" s="221"/>
      <c r="M55" s="221"/>
      <c r="N55" s="221"/>
      <c r="O55" s="221"/>
      <c r="P55" s="221"/>
      <c r="Q55" s="221"/>
      <c r="R55" s="221"/>
      <c r="S55" s="221"/>
      <c r="T55" s="221"/>
      <c r="U55" s="224"/>
      <c r="V55" s="225"/>
      <c r="W55" s="84"/>
      <c r="X55" s="84"/>
      <c r="Y55" s="226"/>
      <c r="Z55" s="226"/>
      <c r="AA55" s="226"/>
    </row>
    <row r="56" spans="1:27" x14ac:dyDescent="0.25">
      <c r="A56" s="1262">
        <v>30</v>
      </c>
      <c r="B56" s="1300" t="s">
        <v>2193</v>
      </c>
      <c r="C56" s="1288" t="s">
        <v>2156</v>
      </c>
      <c r="D56" s="1266" t="s">
        <v>2161</v>
      </c>
      <c r="E56" s="1291" t="s">
        <v>2192</v>
      </c>
      <c r="F56" s="1269" t="s">
        <v>2037</v>
      </c>
      <c r="G56" s="1308" t="s">
        <v>2159</v>
      </c>
      <c r="H56" s="1310" t="s">
        <v>2102</v>
      </c>
      <c r="I56" s="1268" t="s">
        <v>2149</v>
      </c>
      <c r="J56" s="219" t="s">
        <v>2150</v>
      </c>
      <c r="K56" s="221" t="s">
        <v>885</v>
      </c>
      <c r="L56" s="220">
        <v>1</v>
      </c>
      <c r="M56" s="220">
        <v>1</v>
      </c>
      <c r="N56" s="220">
        <v>1</v>
      </c>
      <c r="O56" s="220">
        <v>1</v>
      </c>
      <c r="P56" s="341">
        <v>1</v>
      </c>
      <c r="Q56" s="341">
        <v>1</v>
      </c>
      <c r="R56" s="341">
        <v>1</v>
      </c>
      <c r="S56" s="341">
        <v>1</v>
      </c>
      <c r="T56" s="220">
        <v>1</v>
      </c>
      <c r="U56" s="230">
        <v>1</v>
      </c>
      <c r="V56" s="231">
        <v>1</v>
      </c>
      <c r="W56" s="84"/>
      <c r="X56" s="84"/>
      <c r="Y56" s="226"/>
      <c r="Z56" s="226"/>
      <c r="AA56" s="226"/>
    </row>
    <row r="57" spans="1:27" ht="105" customHeight="1" x14ac:dyDescent="0.25">
      <c r="A57" s="1263"/>
      <c r="B57" s="1301"/>
      <c r="C57" s="1267"/>
      <c r="D57" s="1267"/>
      <c r="E57" s="1292"/>
      <c r="F57" s="1270"/>
      <c r="G57" s="1309"/>
      <c r="H57" s="1311"/>
      <c r="I57" s="1267"/>
      <c r="J57" s="227" t="s">
        <v>2151</v>
      </c>
      <c r="K57" s="221" t="s">
        <v>885</v>
      </c>
      <c r="L57" s="221" t="s">
        <v>885</v>
      </c>
      <c r="M57" s="221" t="s">
        <v>885</v>
      </c>
      <c r="N57" s="221" t="s">
        <v>885</v>
      </c>
      <c r="O57" s="221" t="s">
        <v>885</v>
      </c>
      <c r="P57" s="221" t="s">
        <v>885</v>
      </c>
      <c r="Q57" s="221" t="s">
        <v>885</v>
      </c>
      <c r="R57" s="221" t="s">
        <v>885</v>
      </c>
      <c r="S57" s="221" t="s">
        <v>885</v>
      </c>
      <c r="T57" s="221" t="s">
        <v>885</v>
      </c>
      <c r="U57" s="224" t="s">
        <v>885</v>
      </c>
      <c r="V57" s="225" t="s">
        <v>885</v>
      </c>
      <c r="W57" s="84"/>
      <c r="X57" s="84"/>
      <c r="Y57" s="226"/>
      <c r="Z57" s="226"/>
      <c r="AA57" s="226"/>
    </row>
    <row r="58" spans="1:27" x14ac:dyDescent="0.25">
      <c r="A58" s="236" t="s">
        <v>885</v>
      </c>
      <c r="B58" s="237" t="s">
        <v>2000</v>
      </c>
      <c r="C58" s="238" t="s">
        <v>885</v>
      </c>
      <c r="D58" s="239" t="s">
        <v>885</v>
      </c>
      <c r="E58" s="240" t="s">
        <v>885</v>
      </c>
      <c r="F58" s="238" t="s">
        <v>885</v>
      </c>
      <c r="G58" s="238" t="s">
        <v>885</v>
      </c>
      <c r="H58" s="237" t="s">
        <v>885</v>
      </c>
      <c r="I58" s="238" t="s">
        <v>885</v>
      </c>
      <c r="J58" s="238" t="s">
        <v>885</v>
      </c>
      <c r="K58" s="241">
        <f>+SUM(K6:K57)</f>
        <v>2</v>
      </c>
      <c r="L58" s="241">
        <f t="shared" ref="L58:V58" si="0">+SUM(L6:L57)</f>
        <v>1</v>
      </c>
      <c r="M58" s="241">
        <f t="shared" si="0"/>
        <v>1</v>
      </c>
      <c r="N58" s="241">
        <f t="shared" si="0"/>
        <v>1</v>
      </c>
      <c r="O58" s="241">
        <f t="shared" si="0"/>
        <v>9</v>
      </c>
      <c r="P58" s="241">
        <f t="shared" si="0"/>
        <v>7</v>
      </c>
      <c r="Q58" s="241">
        <f t="shared" si="0"/>
        <v>3</v>
      </c>
      <c r="R58" s="241">
        <f t="shared" si="0"/>
        <v>4</v>
      </c>
      <c r="S58" s="241">
        <f t="shared" si="0"/>
        <v>4</v>
      </c>
      <c r="T58" s="241">
        <f t="shared" si="0"/>
        <v>1</v>
      </c>
      <c r="U58" s="241">
        <f t="shared" si="0"/>
        <v>3</v>
      </c>
      <c r="V58" s="241">
        <f t="shared" si="0"/>
        <v>2</v>
      </c>
      <c r="W58" s="84"/>
      <c r="X58" s="84"/>
      <c r="Y58" s="226"/>
      <c r="Z58" s="226"/>
      <c r="AA58" s="226"/>
    </row>
    <row r="59" spans="1:27" ht="15" customHeight="1" x14ac:dyDescent="0.25">
      <c r="A59" s="1312" t="s">
        <v>2001</v>
      </c>
      <c r="B59" s="1313"/>
      <c r="C59" s="1313"/>
      <c r="D59" s="1313"/>
      <c r="E59" s="1313"/>
      <c r="F59" s="1313"/>
      <c r="G59" s="1313"/>
      <c r="H59" s="1313"/>
      <c r="I59" s="1313"/>
      <c r="J59" s="1314"/>
      <c r="K59" s="242">
        <v>0</v>
      </c>
      <c r="L59" s="242">
        <v>0</v>
      </c>
      <c r="M59" s="242">
        <v>0</v>
      </c>
      <c r="N59" s="242">
        <v>0</v>
      </c>
      <c r="O59" s="242">
        <v>0</v>
      </c>
      <c r="P59" s="242">
        <v>0</v>
      </c>
      <c r="Q59" s="242">
        <v>0</v>
      </c>
      <c r="R59" s="242">
        <v>0</v>
      </c>
      <c r="S59" s="242">
        <v>0</v>
      </c>
      <c r="T59" s="242">
        <v>0</v>
      </c>
      <c r="U59" s="243">
        <v>0</v>
      </c>
      <c r="V59" s="244">
        <v>0</v>
      </c>
      <c r="W59" s="84"/>
      <c r="X59" s="84"/>
      <c r="Y59" s="226"/>
      <c r="Z59" s="226"/>
      <c r="AA59" s="226"/>
    </row>
    <row r="60" spans="1:27" ht="15" customHeight="1" x14ac:dyDescent="0.25">
      <c r="A60" s="1312" t="s">
        <v>2002</v>
      </c>
      <c r="B60" s="1313"/>
      <c r="C60" s="1313"/>
      <c r="D60" s="1313"/>
      <c r="E60" s="1313"/>
      <c r="F60" s="1313"/>
      <c r="G60" s="1313"/>
      <c r="H60" s="1313"/>
      <c r="I60" s="1313"/>
      <c r="J60" s="1314"/>
      <c r="K60" s="242">
        <v>0</v>
      </c>
      <c r="L60" s="242">
        <v>0</v>
      </c>
      <c r="M60" s="242">
        <v>0</v>
      </c>
      <c r="N60" s="242">
        <v>0</v>
      </c>
      <c r="O60" s="242">
        <v>0</v>
      </c>
      <c r="P60" s="242">
        <v>0</v>
      </c>
      <c r="Q60" s="242">
        <v>0</v>
      </c>
      <c r="R60" s="242">
        <v>0</v>
      </c>
      <c r="S60" s="242">
        <v>0</v>
      </c>
      <c r="T60" s="242">
        <v>0</v>
      </c>
      <c r="U60" s="243">
        <v>0</v>
      </c>
      <c r="V60" s="244">
        <v>0</v>
      </c>
      <c r="W60" s="84"/>
      <c r="X60" s="84"/>
      <c r="Y60" s="226"/>
      <c r="Z60" s="226"/>
      <c r="AA60" s="226"/>
    </row>
    <row r="61" spans="1:27" ht="15" customHeight="1" thickBot="1" x14ac:dyDescent="0.3">
      <c r="A61" s="1312" t="s">
        <v>2003</v>
      </c>
      <c r="B61" s="1313"/>
      <c r="C61" s="1313"/>
      <c r="D61" s="1313"/>
      <c r="E61" s="1313"/>
      <c r="F61" s="1313"/>
      <c r="G61" s="1313"/>
      <c r="H61" s="1313"/>
      <c r="I61" s="1313"/>
      <c r="J61" s="1314"/>
      <c r="K61" s="242" t="s">
        <v>1756</v>
      </c>
      <c r="L61" s="242" t="s">
        <v>1756</v>
      </c>
      <c r="M61" s="242" t="s">
        <v>1756</v>
      </c>
      <c r="N61" s="242" t="s">
        <v>1756</v>
      </c>
      <c r="O61" s="242" t="s">
        <v>1756</v>
      </c>
      <c r="P61" s="242" t="s">
        <v>1756</v>
      </c>
      <c r="Q61" s="242" t="s">
        <v>1756</v>
      </c>
      <c r="R61" s="242" t="s">
        <v>1756</v>
      </c>
      <c r="S61" s="242" t="s">
        <v>1756</v>
      </c>
      <c r="T61" s="242" t="s">
        <v>1756</v>
      </c>
      <c r="U61" s="243" t="s">
        <v>1756</v>
      </c>
      <c r="V61" s="244" t="s">
        <v>1756</v>
      </c>
      <c r="W61" s="84"/>
      <c r="X61" s="84"/>
      <c r="Y61" s="226"/>
      <c r="Z61" s="226"/>
      <c r="AA61" s="226"/>
    </row>
    <row r="62" spans="1:27" ht="15.75" thickBot="1" x14ac:dyDescent="0.3">
      <c r="A62" s="245"/>
      <c r="B62" s="246"/>
      <c r="C62" s="245"/>
      <c r="D62" s="247"/>
      <c r="E62" s="248"/>
      <c r="F62" s="245"/>
      <c r="G62" s="245"/>
      <c r="H62" s="246"/>
      <c r="I62" s="245"/>
      <c r="J62" s="245"/>
      <c r="K62" s="1315">
        <f>+K58+L58+M58</f>
        <v>4</v>
      </c>
      <c r="L62" s="1316"/>
      <c r="M62" s="1317"/>
      <c r="N62" s="1315">
        <f>+N58+O58+P58</f>
        <v>17</v>
      </c>
      <c r="O62" s="1316"/>
      <c r="P62" s="1317"/>
      <c r="Q62" s="1315">
        <f>+Q58+R58+S58</f>
        <v>11</v>
      </c>
      <c r="R62" s="1316"/>
      <c r="S62" s="1317"/>
      <c r="T62" s="1315">
        <f>+T58+U58+V58</f>
        <v>6</v>
      </c>
      <c r="U62" s="1316"/>
      <c r="V62" s="1318"/>
      <c r="W62" s="84"/>
      <c r="X62" s="84"/>
      <c r="Y62" s="226"/>
      <c r="Z62" s="226"/>
      <c r="AA62" s="226"/>
    </row>
    <row r="63" spans="1:27" x14ac:dyDescent="0.25">
      <c r="A63" s="67"/>
      <c r="B63" s="249"/>
      <c r="C63" s="67"/>
      <c r="D63" s="250"/>
      <c r="E63" s="251"/>
      <c r="F63" s="67"/>
      <c r="G63" s="67"/>
      <c r="H63" s="249"/>
      <c r="I63" s="67"/>
      <c r="J63" s="67"/>
      <c r="K63" s="67"/>
      <c r="L63" s="67"/>
      <c r="M63" s="343">
        <f>+K62/38</f>
        <v>0.10526315789473684</v>
      </c>
      <c r="N63" s="343"/>
      <c r="O63" s="343"/>
      <c r="P63" s="343">
        <f>+N62/38</f>
        <v>0.44736842105263158</v>
      </c>
      <c r="Q63" s="343"/>
      <c r="R63" s="343"/>
      <c r="S63" s="343">
        <f>+Q62/38</f>
        <v>0.28947368421052633</v>
      </c>
      <c r="T63" s="343"/>
      <c r="U63" s="343"/>
      <c r="V63" s="343">
        <f>+T62/38</f>
        <v>0.15789473684210525</v>
      </c>
      <c r="W63" s="67"/>
      <c r="X63" s="67"/>
      <c r="Y63" s="67"/>
      <c r="Z63" s="67"/>
      <c r="AA63" s="252"/>
    </row>
    <row r="64" spans="1:27" x14ac:dyDescent="0.25">
      <c r="A64" s="67"/>
      <c r="B64" s="249"/>
      <c r="C64" s="67"/>
      <c r="D64" s="250"/>
      <c r="E64" s="251"/>
      <c r="F64" s="67"/>
      <c r="G64" s="67"/>
      <c r="H64" s="249"/>
      <c r="I64" s="67"/>
      <c r="J64" s="67"/>
      <c r="K64" s="67"/>
      <c r="L64" s="67"/>
      <c r="M64" s="67"/>
      <c r="N64" s="67"/>
      <c r="O64" s="67"/>
      <c r="P64" s="67"/>
      <c r="Q64" s="67"/>
      <c r="R64" s="67"/>
      <c r="S64" s="67"/>
      <c r="T64" s="67"/>
      <c r="U64" s="67"/>
      <c r="V64" s="67"/>
      <c r="W64" s="67"/>
      <c r="X64" s="67"/>
      <c r="Y64" s="67"/>
      <c r="Z64" s="67"/>
      <c r="AA64" s="252"/>
    </row>
    <row r="65" spans="1:27" ht="18.75" customHeight="1" x14ac:dyDescent="0.25">
      <c r="A65" s="1319" t="s">
        <v>2194</v>
      </c>
      <c r="B65" s="1320"/>
      <c r="C65" s="1320"/>
      <c r="D65" s="1320"/>
      <c r="E65" s="1162" t="s">
        <v>2136</v>
      </c>
      <c r="F65" s="1162"/>
      <c r="G65" s="1162"/>
      <c r="H65" s="1162"/>
      <c r="I65" s="1321" t="s">
        <v>2137</v>
      </c>
      <c r="J65" s="1321"/>
      <c r="K65" s="1321"/>
      <c r="L65" s="1321"/>
      <c r="M65" s="1321"/>
      <c r="N65" s="1321"/>
      <c r="O65" s="1321"/>
      <c r="P65" s="1321"/>
      <c r="Q65" s="67" t="s">
        <v>885</v>
      </c>
      <c r="R65" s="67" t="s">
        <v>885</v>
      </c>
      <c r="S65" s="67" t="s">
        <v>885</v>
      </c>
      <c r="T65" s="67"/>
      <c r="U65" s="67"/>
      <c r="V65" s="67"/>
      <c r="W65" s="67"/>
      <c r="X65" s="67"/>
      <c r="Y65" s="67"/>
      <c r="Z65" s="67"/>
      <c r="AA65" s="252"/>
    </row>
    <row r="66" spans="1:27" ht="19.5" customHeight="1" x14ac:dyDescent="0.25">
      <c r="A66" s="1320"/>
      <c r="B66" s="1320"/>
      <c r="C66" s="1320"/>
      <c r="D66" s="1320"/>
      <c r="E66" s="1162"/>
      <c r="F66" s="1162"/>
      <c r="G66" s="1162"/>
      <c r="H66" s="1162"/>
      <c r="I66" s="1321"/>
      <c r="J66" s="1321"/>
      <c r="K66" s="1321"/>
      <c r="L66" s="1321"/>
      <c r="M66" s="1321"/>
      <c r="N66" s="1321"/>
      <c r="O66" s="1321"/>
      <c r="P66" s="1321"/>
      <c r="Q66" s="67" t="s">
        <v>885</v>
      </c>
      <c r="R66" s="67" t="s">
        <v>885</v>
      </c>
      <c r="S66" s="67" t="s">
        <v>885</v>
      </c>
      <c r="T66" s="67"/>
      <c r="U66" s="67"/>
      <c r="V66" s="67"/>
      <c r="W66" s="67"/>
      <c r="X66" s="67"/>
      <c r="Y66" s="67"/>
      <c r="Z66" s="67"/>
      <c r="AA66" s="252"/>
    </row>
    <row r="67" spans="1:27" x14ac:dyDescent="0.25">
      <c r="A67" s="1322" t="s">
        <v>1995</v>
      </c>
      <c r="B67" s="1323"/>
      <c r="C67" s="253">
        <v>1</v>
      </c>
      <c r="D67" s="254"/>
      <c r="E67" s="193"/>
      <c r="F67" s="193"/>
      <c r="G67" s="193"/>
      <c r="H67" s="255"/>
      <c r="I67" s="193"/>
      <c r="J67" s="193"/>
      <c r="K67" s="193"/>
      <c r="L67" s="193"/>
      <c r="M67" s="193"/>
      <c r="N67" s="193"/>
      <c r="O67" s="193"/>
      <c r="P67" s="193"/>
      <c r="Q67" s="256"/>
      <c r="R67" s="256"/>
      <c r="S67" s="256"/>
      <c r="T67" s="67"/>
      <c r="U67" s="67"/>
      <c r="V67" s="67"/>
      <c r="W67" s="67"/>
      <c r="X67" s="67"/>
      <c r="Y67" s="67"/>
      <c r="Z67" s="67"/>
      <c r="AA67" s="252"/>
    </row>
    <row r="68" spans="1:27" x14ac:dyDescent="0.25">
      <c r="A68" s="1171" t="s">
        <v>1996</v>
      </c>
      <c r="B68" s="1172"/>
      <c r="C68" s="547">
        <v>2</v>
      </c>
      <c r="D68" s="257"/>
      <c r="E68" s="193"/>
      <c r="F68" s="193"/>
      <c r="G68" s="193"/>
      <c r="H68" s="255"/>
      <c r="I68" s="193"/>
      <c r="J68" s="193"/>
      <c r="K68" s="193"/>
      <c r="L68" s="193"/>
      <c r="M68" s="193"/>
      <c r="N68" s="193"/>
      <c r="O68" s="193"/>
      <c r="P68" s="193"/>
      <c r="Q68" s="256"/>
      <c r="R68" s="256"/>
      <c r="S68" s="256"/>
      <c r="T68" s="67"/>
      <c r="U68" s="67"/>
      <c r="V68" s="67"/>
      <c r="W68" s="67"/>
      <c r="X68" s="67"/>
      <c r="Y68" s="67"/>
      <c r="Z68" s="67"/>
      <c r="AA68" s="252"/>
    </row>
    <row r="69" spans="1:27" x14ac:dyDescent="0.25">
      <c r="A69" s="1171" t="s">
        <v>2079</v>
      </c>
      <c r="B69" s="1172"/>
      <c r="C69" s="547">
        <v>3</v>
      </c>
      <c r="D69" s="258"/>
      <c r="E69" s="256"/>
      <c r="F69" s="256"/>
      <c r="G69" s="256"/>
      <c r="H69" s="259"/>
      <c r="I69" s="256"/>
      <c r="J69" s="256"/>
      <c r="K69" s="256"/>
      <c r="L69" s="256"/>
      <c r="M69" s="256"/>
      <c r="N69" s="256"/>
      <c r="O69" s="256"/>
      <c r="P69" s="256"/>
      <c r="Q69" s="256"/>
      <c r="R69" s="256"/>
      <c r="S69" s="256" t="s">
        <v>885</v>
      </c>
      <c r="T69" s="67" t="s">
        <v>885</v>
      </c>
      <c r="U69" s="67"/>
      <c r="V69" s="67"/>
      <c r="W69" s="67"/>
      <c r="X69" s="67"/>
      <c r="Y69" s="67"/>
      <c r="Z69" s="67"/>
      <c r="AA69" s="252"/>
    </row>
    <row r="70" spans="1:27" ht="15.75" thickBot="1" x14ac:dyDescent="0.3">
      <c r="A70" s="260" t="s">
        <v>885</v>
      </c>
      <c r="B70" s="249"/>
      <c r="C70" s="67"/>
      <c r="D70" s="250"/>
      <c r="E70" s="193"/>
      <c r="F70" s="193"/>
      <c r="G70" s="67"/>
      <c r="H70" s="249"/>
      <c r="I70" s="67"/>
      <c r="J70" s="67"/>
      <c r="K70" s="67"/>
      <c r="L70" s="67"/>
      <c r="M70" s="67"/>
      <c r="N70" s="67"/>
      <c r="O70" s="67"/>
      <c r="P70" s="67"/>
      <c r="Q70" s="67"/>
      <c r="R70" s="67"/>
      <c r="S70" s="67"/>
      <c r="T70" s="67"/>
      <c r="U70" s="67"/>
      <c r="V70" s="67"/>
      <c r="W70" s="67"/>
      <c r="X70" s="67"/>
      <c r="Y70" s="67"/>
      <c r="Z70" s="67"/>
      <c r="AA70" s="252"/>
    </row>
    <row r="71" spans="1:27" x14ac:dyDescent="0.25">
      <c r="A71" s="1009" t="s">
        <v>2011</v>
      </c>
      <c r="B71" s="1010"/>
      <c r="C71" s="1010"/>
      <c r="D71" s="1010"/>
      <c r="E71" s="1010"/>
      <c r="F71" s="1010"/>
      <c r="G71" s="1010"/>
      <c r="H71" s="1010"/>
      <c r="I71" s="1010"/>
      <c r="J71" s="1010"/>
      <c r="K71" s="1010"/>
      <c r="L71" s="1010"/>
      <c r="M71" s="1010"/>
      <c r="N71" s="1010"/>
      <c r="O71" s="1010"/>
      <c r="P71" s="1010"/>
      <c r="Q71" s="1010"/>
      <c r="R71" s="1010"/>
      <c r="S71" s="1010"/>
      <c r="T71" s="1008"/>
      <c r="U71" s="1008"/>
      <c r="V71" s="1008"/>
    </row>
    <row r="72" spans="1:27" x14ac:dyDescent="0.25">
      <c r="A72" s="1011"/>
      <c r="B72" s="1012"/>
      <c r="C72" s="1012"/>
      <c r="D72" s="1012"/>
      <c r="E72" s="1012"/>
      <c r="F72" s="1012"/>
      <c r="G72" s="1012"/>
      <c r="H72" s="1012"/>
      <c r="I72" s="1012"/>
      <c r="J72" s="1012"/>
      <c r="K72" s="1012"/>
      <c r="L72" s="1012"/>
      <c r="M72" s="1012"/>
      <c r="N72" s="1012"/>
      <c r="O72" s="1012"/>
      <c r="P72" s="1012"/>
      <c r="Q72" s="1012"/>
      <c r="R72" s="1012"/>
      <c r="S72" s="1012"/>
      <c r="T72" s="1008"/>
      <c r="U72" s="1008"/>
      <c r="V72" s="1008"/>
    </row>
    <row r="73" spans="1:27" x14ac:dyDescent="0.25">
      <c r="A73" s="1013"/>
      <c r="B73" s="1014"/>
      <c r="C73" s="1014"/>
      <c r="D73" s="1014"/>
      <c r="E73" s="1014"/>
      <c r="F73" s="1014"/>
      <c r="G73" s="1014"/>
      <c r="H73" s="1014"/>
      <c r="I73" s="1014"/>
      <c r="J73" s="1014"/>
      <c r="K73" s="1014"/>
      <c r="L73" s="1014"/>
      <c r="M73" s="1014"/>
      <c r="N73" s="1014"/>
      <c r="O73" s="1014"/>
      <c r="P73" s="1014"/>
      <c r="Q73" s="1014"/>
      <c r="R73" s="1014"/>
      <c r="S73" s="1014"/>
      <c r="T73" s="1008"/>
      <c r="U73" s="1008"/>
      <c r="V73" s="1008"/>
    </row>
    <row r="74" spans="1:27" x14ac:dyDescent="0.25">
      <c r="A74" s="1013"/>
      <c r="B74" s="1014"/>
      <c r="C74" s="1014"/>
      <c r="D74" s="1014"/>
      <c r="E74" s="1014"/>
      <c r="F74" s="1014"/>
      <c r="G74" s="1014"/>
      <c r="H74" s="1014"/>
      <c r="I74" s="1014"/>
      <c r="J74" s="1014"/>
      <c r="K74" s="1014"/>
      <c r="L74" s="1014"/>
      <c r="M74" s="1014"/>
      <c r="N74" s="1014"/>
      <c r="O74" s="1014"/>
      <c r="P74" s="1014"/>
      <c r="Q74" s="1014"/>
      <c r="R74" s="1014"/>
      <c r="S74" s="1014"/>
      <c r="T74" s="1008"/>
      <c r="U74" s="1008"/>
      <c r="V74" s="1008"/>
    </row>
    <row r="75" spans="1:27" x14ac:dyDescent="0.25">
      <c r="A75" s="1013"/>
      <c r="B75" s="1014"/>
      <c r="C75" s="1014"/>
      <c r="D75" s="1014"/>
      <c r="E75" s="1014"/>
      <c r="F75" s="1014"/>
      <c r="G75" s="1014"/>
      <c r="H75" s="1014"/>
      <c r="I75" s="1014"/>
      <c r="J75" s="1014"/>
      <c r="K75" s="1014"/>
      <c r="L75" s="1014"/>
      <c r="M75" s="1014"/>
      <c r="N75" s="1014"/>
      <c r="O75" s="1014"/>
      <c r="P75" s="1014"/>
      <c r="Q75" s="1014"/>
      <c r="R75" s="1014"/>
      <c r="S75" s="1014"/>
      <c r="T75" s="1008"/>
      <c r="U75" s="1008"/>
      <c r="V75" s="1008"/>
    </row>
    <row r="76" spans="1:27" x14ac:dyDescent="0.25">
      <c r="A76" s="1013"/>
      <c r="B76" s="1014"/>
      <c r="C76" s="1014"/>
      <c r="D76" s="1014"/>
      <c r="E76" s="1014"/>
      <c r="F76" s="1014"/>
      <c r="G76" s="1014"/>
      <c r="H76" s="1014"/>
      <c r="I76" s="1014"/>
      <c r="J76" s="1014"/>
      <c r="K76" s="1014"/>
      <c r="L76" s="1014"/>
      <c r="M76" s="1014"/>
      <c r="N76" s="1014"/>
      <c r="O76" s="1014"/>
      <c r="P76" s="1014"/>
      <c r="Q76" s="1014"/>
      <c r="R76" s="1014"/>
      <c r="S76" s="1014"/>
      <c r="T76" s="1008"/>
      <c r="U76" s="1008"/>
      <c r="V76" s="1008"/>
    </row>
    <row r="77" spans="1:27" x14ac:dyDescent="0.25">
      <c r="A77" s="1013"/>
      <c r="B77" s="1014"/>
      <c r="C77" s="1014"/>
      <c r="D77" s="1014"/>
      <c r="E77" s="1014"/>
      <c r="F77" s="1014"/>
      <c r="G77" s="1014"/>
      <c r="H77" s="1014"/>
      <c r="I77" s="1014"/>
      <c r="J77" s="1014"/>
      <c r="K77" s="1014"/>
      <c r="L77" s="1014"/>
      <c r="M77" s="1014"/>
      <c r="N77" s="1014"/>
      <c r="O77" s="1014"/>
      <c r="P77" s="1014"/>
      <c r="Q77" s="1014"/>
      <c r="R77" s="1014"/>
      <c r="S77" s="1014"/>
      <c r="T77" s="1008"/>
      <c r="U77" s="1008"/>
      <c r="V77" s="1008"/>
    </row>
    <row r="78" spans="1:27" x14ac:dyDescent="0.25">
      <c r="A78" s="1013"/>
      <c r="B78" s="1014"/>
      <c r="C78" s="1014"/>
      <c r="D78" s="1014"/>
      <c r="E78" s="1014"/>
      <c r="F78" s="1014"/>
      <c r="G78" s="1014"/>
      <c r="H78" s="1014"/>
      <c r="I78" s="1014"/>
      <c r="J78" s="1014"/>
      <c r="K78" s="1014"/>
      <c r="L78" s="1014"/>
      <c r="M78" s="1014"/>
      <c r="N78" s="1014"/>
      <c r="O78" s="1014"/>
      <c r="P78" s="1014"/>
      <c r="Q78" s="1014"/>
      <c r="R78" s="1014"/>
      <c r="S78" s="1014"/>
      <c r="T78" s="1008"/>
      <c r="U78" s="1008"/>
      <c r="V78" s="1008"/>
    </row>
    <row r="79" spans="1:27" ht="15.75" thickBot="1" x14ac:dyDescent="0.3">
      <c r="A79" s="1015"/>
      <c r="B79" s="1015"/>
      <c r="C79" s="1015"/>
      <c r="D79" s="1015"/>
      <c r="E79" s="1015"/>
      <c r="F79" s="1015"/>
      <c r="G79" s="1015"/>
      <c r="H79" s="1015"/>
      <c r="I79" s="1015"/>
      <c r="J79" s="1015"/>
      <c r="K79" s="1015"/>
      <c r="L79" s="1015"/>
      <c r="M79" s="1015"/>
      <c r="N79" s="1015"/>
      <c r="O79" s="1015"/>
      <c r="P79" s="1015"/>
      <c r="Q79" s="1015"/>
      <c r="R79" s="1015"/>
      <c r="S79" s="1015"/>
      <c r="T79" s="1015"/>
      <c r="U79" s="1015"/>
      <c r="V79" s="1015"/>
    </row>
    <row r="80" spans="1:27" ht="15.75" thickBot="1" x14ac:dyDescent="0.3">
      <c r="A80" s="1016" t="s">
        <v>2012</v>
      </c>
      <c r="B80" s="1017"/>
      <c r="C80" s="1017"/>
      <c r="D80" s="1017"/>
      <c r="E80" s="1017"/>
      <c r="F80" s="1017"/>
      <c r="G80" s="1017"/>
      <c r="H80" s="1017"/>
      <c r="I80" s="1017"/>
      <c r="J80" s="1017"/>
      <c r="K80" s="74"/>
      <c r="L80" s="74"/>
      <c r="M80" s="74"/>
      <c r="N80" s="74"/>
      <c r="O80" s="74"/>
      <c r="P80" s="74"/>
      <c r="Q80" s="74"/>
      <c r="R80" s="74"/>
      <c r="S80" s="74"/>
      <c r="T80" s="75"/>
      <c r="U80" s="75"/>
      <c r="V80" s="75"/>
    </row>
    <row r="81" spans="1:22" x14ac:dyDescent="0.25">
      <c r="A81" s="996"/>
      <c r="B81" s="997"/>
      <c r="C81" s="997"/>
      <c r="D81" s="997"/>
      <c r="E81" s="997"/>
      <c r="F81" s="997"/>
      <c r="G81" s="997"/>
      <c r="H81" s="997"/>
      <c r="I81" s="997"/>
      <c r="J81" s="997"/>
      <c r="K81" s="74"/>
      <c r="L81" s="74"/>
      <c r="M81" s="74"/>
      <c r="N81" s="74"/>
      <c r="O81" s="74"/>
      <c r="P81" s="74"/>
      <c r="Q81" s="74"/>
      <c r="R81" s="74"/>
      <c r="S81" s="74"/>
      <c r="T81" s="75"/>
      <c r="U81" s="75"/>
      <c r="V81" s="75"/>
    </row>
    <row r="82" spans="1:22" x14ac:dyDescent="0.25">
      <c r="A82" s="998"/>
      <c r="B82" s="999"/>
      <c r="C82" s="999"/>
      <c r="D82" s="999"/>
      <c r="E82" s="999"/>
      <c r="F82" s="999"/>
      <c r="G82" s="999"/>
      <c r="H82" s="999"/>
      <c r="I82" s="999"/>
      <c r="J82" s="999"/>
      <c r="K82" s="75"/>
      <c r="L82" s="75"/>
      <c r="M82" s="75"/>
      <c r="N82" s="75"/>
      <c r="O82" s="75"/>
      <c r="P82" s="75"/>
      <c r="Q82" s="75"/>
      <c r="R82" s="75"/>
      <c r="S82" s="75"/>
      <c r="T82" s="75"/>
      <c r="U82" s="75"/>
      <c r="V82" s="75"/>
    </row>
    <row r="83" spans="1:22" x14ac:dyDescent="0.25">
      <c r="A83" s="998"/>
      <c r="B83" s="999"/>
      <c r="C83" s="999"/>
      <c r="D83" s="999"/>
      <c r="E83" s="999"/>
      <c r="F83" s="999"/>
      <c r="G83" s="999"/>
      <c r="H83" s="999"/>
      <c r="I83" s="999"/>
      <c r="J83" s="999"/>
      <c r="K83" s="75"/>
      <c r="L83" s="75"/>
      <c r="M83" s="75"/>
      <c r="N83" s="75"/>
      <c r="O83" s="75"/>
      <c r="P83" s="75"/>
      <c r="Q83" s="75"/>
      <c r="R83" s="75"/>
      <c r="S83" s="75"/>
      <c r="T83" s="75"/>
      <c r="U83" s="75"/>
      <c r="V83" s="75"/>
    </row>
    <row r="84" spans="1:22" x14ac:dyDescent="0.25">
      <c r="A84" s="998"/>
      <c r="B84" s="999"/>
      <c r="C84" s="999"/>
      <c r="D84" s="999"/>
      <c r="E84" s="999"/>
      <c r="F84" s="999"/>
      <c r="G84" s="999"/>
      <c r="H84" s="999"/>
      <c r="I84" s="999"/>
      <c r="J84" s="999"/>
      <c r="K84" s="75"/>
      <c r="L84" s="75"/>
      <c r="M84" s="75"/>
      <c r="N84" s="75"/>
      <c r="O84" s="75"/>
      <c r="P84" s="75"/>
      <c r="Q84" s="75"/>
      <c r="R84" s="75"/>
      <c r="S84" s="75"/>
      <c r="T84" s="75"/>
      <c r="U84" s="75"/>
      <c r="V84" s="75"/>
    </row>
    <row r="85" spans="1:22" x14ac:dyDescent="0.25">
      <c r="A85" s="998"/>
      <c r="B85" s="999"/>
      <c r="C85" s="999"/>
      <c r="D85" s="999"/>
      <c r="E85" s="999"/>
      <c r="F85" s="999"/>
      <c r="G85" s="999"/>
      <c r="H85" s="999"/>
      <c r="I85" s="999"/>
      <c r="J85" s="999"/>
      <c r="K85" s="75"/>
      <c r="L85" s="75"/>
      <c r="M85" s="75"/>
      <c r="N85" s="75"/>
      <c r="O85" s="75"/>
      <c r="P85" s="75"/>
      <c r="Q85" s="75"/>
      <c r="R85" s="75"/>
      <c r="S85" s="75"/>
      <c r="T85" s="75"/>
      <c r="U85" s="75"/>
      <c r="V85" s="75"/>
    </row>
    <row r="86" spans="1:22" x14ac:dyDescent="0.25">
      <c r="A86" s="998"/>
      <c r="B86" s="999"/>
      <c r="C86" s="999"/>
      <c r="D86" s="999"/>
      <c r="E86" s="999"/>
      <c r="F86" s="999"/>
      <c r="G86" s="999"/>
      <c r="H86" s="999"/>
      <c r="I86" s="999"/>
      <c r="J86" s="999"/>
      <c r="K86" s="75"/>
      <c r="L86" s="75"/>
      <c r="M86" s="75"/>
      <c r="N86" s="1002" t="s">
        <v>2013</v>
      </c>
      <c r="O86" s="1002"/>
      <c r="P86" s="1003"/>
      <c r="Q86" s="1003"/>
      <c r="R86" s="1003"/>
      <c r="S86" s="1003"/>
      <c r="T86" s="75"/>
      <c r="U86" s="75"/>
      <c r="V86" s="75"/>
    </row>
    <row r="87" spans="1:22" x14ac:dyDescent="0.25">
      <c r="A87" s="998"/>
      <c r="B87" s="999"/>
      <c r="C87" s="999"/>
      <c r="D87" s="999"/>
      <c r="E87" s="999"/>
      <c r="F87" s="999"/>
      <c r="G87" s="999"/>
      <c r="H87" s="999"/>
      <c r="I87" s="999"/>
      <c r="J87" s="999"/>
      <c r="K87" s="75"/>
      <c r="L87" s="75"/>
      <c r="M87" s="75"/>
      <c r="N87" s="75"/>
      <c r="O87" s="75"/>
      <c r="P87" s="75"/>
      <c r="Q87" s="75"/>
      <c r="R87" s="75"/>
      <c r="S87" s="75"/>
      <c r="T87" s="75"/>
      <c r="U87" s="75"/>
      <c r="V87" s="75"/>
    </row>
    <row r="88" spans="1:22" x14ac:dyDescent="0.25">
      <c r="A88" s="998"/>
      <c r="B88" s="999"/>
      <c r="C88" s="999"/>
      <c r="D88" s="999"/>
      <c r="E88" s="999"/>
      <c r="F88" s="999"/>
      <c r="G88" s="999"/>
      <c r="H88" s="999"/>
      <c r="I88" s="999"/>
      <c r="J88" s="999"/>
      <c r="K88" s="75"/>
      <c r="L88" s="75"/>
      <c r="M88" s="75"/>
      <c r="N88" s="75"/>
      <c r="O88" s="75"/>
      <c r="P88" s="75"/>
      <c r="Q88" s="75"/>
      <c r="R88" s="75"/>
      <c r="S88" s="75"/>
      <c r="T88" s="75"/>
      <c r="U88" s="75"/>
      <c r="V88" s="75"/>
    </row>
    <row r="89" spans="1:22" x14ac:dyDescent="0.25">
      <c r="A89" s="998"/>
      <c r="B89" s="999"/>
      <c r="C89" s="999"/>
      <c r="D89" s="999"/>
      <c r="E89" s="999"/>
      <c r="F89" s="999"/>
      <c r="G89" s="999"/>
      <c r="H89" s="999"/>
      <c r="I89" s="999"/>
      <c r="J89" s="999"/>
      <c r="K89" s="75"/>
      <c r="L89" s="75"/>
      <c r="M89" s="75"/>
      <c r="N89" s="75"/>
      <c r="O89" s="75"/>
      <c r="P89" s="75"/>
      <c r="Q89" s="75"/>
      <c r="R89" s="75"/>
      <c r="S89" s="75"/>
      <c r="T89" s="75"/>
      <c r="U89" s="75"/>
      <c r="V89" s="75"/>
    </row>
    <row r="90" spans="1:22" x14ac:dyDescent="0.25">
      <c r="A90" s="998"/>
      <c r="B90" s="999"/>
      <c r="C90" s="999"/>
      <c r="D90" s="999"/>
      <c r="E90" s="999"/>
      <c r="F90" s="999"/>
      <c r="G90" s="999"/>
      <c r="H90" s="999"/>
      <c r="I90" s="999"/>
      <c r="J90" s="999"/>
      <c r="K90" s="75"/>
      <c r="L90" s="75"/>
      <c r="M90" s="75"/>
      <c r="N90" s="75"/>
      <c r="O90" s="75"/>
      <c r="P90" s="75"/>
      <c r="Q90" s="75"/>
      <c r="R90" s="75"/>
      <c r="S90" s="75"/>
      <c r="T90" s="75"/>
      <c r="U90" s="75"/>
      <c r="V90" s="75"/>
    </row>
    <row r="91" spans="1:22" x14ac:dyDescent="0.25">
      <c r="A91" s="998"/>
      <c r="B91" s="999"/>
      <c r="C91" s="999"/>
      <c r="D91" s="999"/>
      <c r="E91" s="999"/>
      <c r="F91" s="999"/>
      <c r="G91" s="999"/>
      <c r="H91" s="999"/>
      <c r="I91" s="999"/>
      <c r="J91" s="999"/>
      <c r="K91" s="75"/>
      <c r="L91" s="75"/>
      <c r="M91" s="75"/>
      <c r="N91" s="75"/>
      <c r="O91" s="75"/>
      <c r="P91" s="75"/>
      <c r="Q91" s="75"/>
      <c r="R91" s="75"/>
      <c r="S91" s="75"/>
      <c r="T91" s="75"/>
      <c r="U91" s="75"/>
      <c r="V91" s="75"/>
    </row>
    <row r="92" spans="1:22" x14ac:dyDescent="0.25">
      <c r="A92" s="998"/>
      <c r="B92" s="999"/>
      <c r="C92" s="999"/>
      <c r="D92" s="999"/>
      <c r="E92" s="999"/>
      <c r="F92" s="999"/>
      <c r="G92" s="999"/>
      <c r="H92" s="999"/>
      <c r="I92" s="999"/>
      <c r="J92" s="999"/>
      <c r="K92" s="75"/>
      <c r="L92" s="75"/>
      <c r="M92" s="75"/>
      <c r="N92" s="75"/>
      <c r="O92" s="75"/>
      <c r="P92" s="75"/>
      <c r="Q92" s="75"/>
      <c r="R92" s="75"/>
      <c r="S92" s="75"/>
      <c r="T92" s="75"/>
      <c r="U92" s="75"/>
      <c r="V92" s="75"/>
    </row>
    <row r="93" spans="1:22" x14ac:dyDescent="0.25">
      <c r="A93" s="998"/>
      <c r="B93" s="999"/>
      <c r="C93" s="999"/>
      <c r="D93" s="999"/>
      <c r="E93" s="999"/>
      <c r="F93" s="999"/>
      <c r="G93" s="999"/>
      <c r="H93" s="999"/>
      <c r="I93" s="999"/>
      <c r="J93" s="999"/>
      <c r="K93" s="75"/>
      <c r="L93" s="75"/>
      <c r="M93" s="75"/>
      <c r="N93" s="75"/>
      <c r="O93" s="75"/>
      <c r="P93" s="75"/>
      <c r="Q93" s="75"/>
      <c r="R93" s="75"/>
      <c r="S93" s="75"/>
      <c r="T93" s="75"/>
      <c r="U93" s="75"/>
      <c r="V93" s="75"/>
    </row>
    <row r="94" spans="1:22" x14ac:dyDescent="0.25">
      <c r="A94" s="998"/>
      <c r="B94" s="999"/>
      <c r="C94" s="999"/>
      <c r="D94" s="999"/>
      <c r="E94" s="999"/>
      <c r="F94" s="999"/>
      <c r="G94" s="999"/>
      <c r="H94" s="999"/>
      <c r="I94" s="999"/>
      <c r="J94" s="999"/>
      <c r="K94" s="75"/>
      <c r="L94" s="75"/>
      <c r="M94" s="75"/>
      <c r="N94" s="75"/>
      <c r="O94" s="75"/>
      <c r="P94" s="75"/>
      <c r="Q94" s="75"/>
      <c r="R94" s="75"/>
      <c r="S94" s="75"/>
      <c r="T94" s="75"/>
      <c r="U94" s="75"/>
      <c r="V94" s="75"/>
    </row>
    <row r="95" spans="1:22" x14ac:dyDescent="0.25">
      <c r="A95" s="998"/>
      <c r="B95" s="999"/>
      <c r="C95" s="999"/>
      <c r="D95" s="999"/>
      <c r="E95" s="999"/>
      <c r="F95" s="999"/>
      <c r="G95" s="999"/>
      <c r="H95" s="999"/>
      <c r="I95" s="999"/>
      <c r="J95" s="999"/>
      <c r="K95" s="75"/>
      <c r="L95" s="75"/>
      <c r="M95" s="75"/>
      <c r="N95" s="75"/>
      <c r="O95" s="75"/>
      <c r="P95" s="75"/>
      <c r="Q95" s="75"/>
      <c r="R95" s="75"/>
      <c r="S95" s="75"/>
      <c r="T95" s="75"/>
      <c r="U95" s="75"/>
      <c r="V95" s="75"/>
    </row>
    <row r="96" spans="1:22" x14ac:dyDescent="0.25">
      <c r="A96" s="998"/>
      <c r="B96" s="999"/>
      <c r="C96" s="999"/>
      <c r="D96" s="999"/>
      <c r="E96" s="999"/>
      <c r="F96" s="999"/>
      <c r="G96" s="999"/>
      <c r="H96" s="999"/>
      <c r="I96" s="999"/>
      <c r="J96" s="999"/>
      <c r="K96" s="75"/>
      <c r="L96" s="75"/>
      <c r="M96" s="75"/>
      <c r="N96" s="75"/>
      <c r="O96" s="75"/>
      <c r="P96" s="75"/>
      <c r="Q96" s="75"/>
      <c r="R96" s="75"/>
      <c r="S96" s="75"/>
      <c r="T96" s="75"/>
      <c r="U96" s="75"/>
      <c r="V96" s="75"/>
    </row>
    <row r="97" spans="1:22" x14ac:dyDescent="0.25">
      <c r="A97" s="1000"/>
      <c r="B97" s="1001"/>
      <c r="C97" s="1001"/>
      <c r="D97" s="1001"/>
      <c r="E97" s="1001"/>
      <c r="F97" s="1001"/>
      <c r="G97" s="1001"/>
      <c r="H97" s="1001"/>
      <c r="I97" s="1001"/>
      <c r="J97" s="1001"/>
      <c r="K97" s="75"/>
      <c r="L97" s="75"/>
      <c r="M97" s="75"/>
      <c r="N97" s="75"/>
      <c r="O97" s="75"/>
      <c r="P97" s="75"/>
      <c r="Q97" s="75"/>
      <c r="R97" s="75"/>
      <c r="S97" s="75"/>
      <c r="T97" s="75"/>
      <c r="U97" s="75"/>
      <c r="V97" s="75"/>
    </row>
  </sheetData>
  <mergeCells count="268">
    <mergeCell ref="A81:J97"/>
    <mergeCell ref="N86:O86"/>
    <mergeCell ref="P86:S86"/>
    <mergeCell ref="A59:J59"/>
    <mergeCell ref="A60:J60"/>
    <mergeCell ref="A61:J61"/>
    <mergeCell ref="A69:B69"/>
    <mergeCell ref="A71:S72"/>
    <mergeCell ref="T71:V78"/>
    <mergeCell ref="A73:S78"/>
    <mergeCell ref="A79:V79"/>
    <mergeCell ref="A80:J80"/>
    <mergeCell ref="K62:M62"/>
    <mergeCell ref="N62:P62"/>
    <mergeCell ref="Q62:S62"/>
    <mergeCell ref="T62:V62"/>
    <mergeCell ref="A65:D66"/>
    <mergeCell ref="E65:H66"/>
    <mergeCell ref="I65:P66"/>
    <mergeCell ref="A67:B67"/>
    <mergeCell ref="A68:B68"/>
    <mergeCell ref="G56:G57"/>
    <mergeCell ref="H56:H57"/>
    <mergeCell ref="I56:I57"/>
    <mergeCell ref="A56:A57"/>
    <mergeCell ref="B56:B57"/>
    <mergeCell ref="C56:C57"/>
    <mergeCell ref="D56:D57"/>
    <mergeCell ref="E56:E57"/>
    <mergeCell ref="F56:F57"/>
    <mergeCell ref="A54:A55"/>
    <mergeCell ref="B54:B55"/>
    <mergeCell ref="C54:C55"/>
    <mergeCell ref="D54:D55"/>
    <mergeCell ref="E54:E55"/>
    <mergeCell ref="F54:F55"/>
    <mergeCell ref="G54:G55"/>
    <mergeCell ref="H54:H55"/>
    <mergeCell ref="I54:I55"/>
    <mergeCell ref="A52:A53"/>
    <mergeCell ref="B52:B53"/>
    <mergeCell ref="C52:C53"/>
    <mergeCell ref="D52:D53"/>
    <mergeCell ref="E52:E53"/>
    <mergeCell ref="F52:F53"/>
    <mergeCell ref="G52:G53"/>
    <mergeCell ref="H52:H53"/>
    <mergeCell ref="I52:I53"/>
    <mergeCell ref="G48:G49"/>
    <mergeCell ref="H48:H49"/>
    <mergeCell ref="I48:I49"/>
    <mergeCell ref="A50:A51"/>
    <mergeCell ref="B50:B51"/>
    <mergeCell ref="C50:C51"/>
    <mergeCell ref="D50:D51"/>
    <mergeCell ref="E50:E51"/>
    <mergeCell ref="F50:F51"/>
    <mergeCell ref="G50:G51"/>
    <mergeCell ref="A48:A49"/>
    <mergeCell ref="B48:B49"/>
    <mergeCell ref="C48:C49"/>
    <mergeCell ref="D48:D49"/>
    <mergeCell ref="E48:E49"/>
    <mergeCell ref="F48:F49"/>
    <mergeCell ref="H50:H51"/>
    <mergeCell ref="I50:I51"/>
    <mergeCell ref="A46:A47"/>
    <mergeCell ref="B46:B47"/>
    <mergeCell ref="C46:C47"/>
    <mergeCell ref="D46:D47"/>
    <mergeCell ref="E46:E47"/>
    <mergeCell ref="F46:F47"/>
    <mergeCell ref="G46:G47"/>
    <mergeCell ref="H46:H47"/>
    <mergeCell ref="I46:I47"/>
    <mergeCell ref="A44:A45"/>
    <mergeCell ref="B44:B45"/>
    <mergeCell ref="C44:C45"/>
    <mergeCell ref="D44:D45"/>
    <mergeCell ref="E44:E45"/>
    <mergeCell ref="F44:F45"/>
    <mergeCell ref="G44:G45"/>
    <mergeCell ref="H44:H45"/>
    <mergeCell ref="I44:I45"/>
    <mergeCell ref="G40:G41"/>
    <mergeCell ref="H40:H41"/>
    <mergeCell ref="I40:I41"/>
    <mergeCell ref="A42:A43"/>
    <mergeCell ref="B42:B43"/>
    <mergeCell ref="C42:C43"/>
    <mergeCell ref="D42:D43"/>
    <mergeCell ref="E42:E43"/>
    <mergeCell ref="F42:F43"/>
    <mergeCell ref="G42:G43"/>
    <mergeCell ref="A40:A41"/>
    <mergeCell ref="B40:B41"/>
    <mergeCell ref="C40:C41"/>
    <mergeCell ref="D40:D41"/>
    <mergeCell ref="E40:E41"/>
    <mergeCell ref="F40:F41"/>
    <mergeCell ref="H42:H43"/>
    <mergeCell ref="I42:I43"/>
    <mergeCell ref="A38:A39"/>
    <mergeCell ref="B38:B39"/>
    <mergeCell ref="C38:C39"/>
    <mergeCell ref="D38:D39"/>
    <mergeCell ref="E38:E39"/>
    <mergeCell ref="F38:F39"/>
    <mergeCell ref="G38:G39"/>
    <mergeCell ref="H38:H39"/>
    <mergeCell ref="I38:I39"/>
    <mergeCell ref="A36:A37"/>
    <mergeCell ref="B36:B37"/>
    <mergeCell ref="C36:C37"/>
    <mergeCell ref="D36:D37"/>
    <mergeCell ref="E36:E37"/>
    <mergeCell ref="F36:F37"/>
    <mergeCell ref="G36:G37"/>
    <mergeCell ref="H36:H37"/>
    <mergeCell ref="I36:I37"/>
    <mergeCell ref="G32:G33"/>
    <mergeCell ref="H32:H33"/>
    <mergeCell ref="I32:I33"/>
    <mergeCell ref="A34:A35"/>
    <mergeCell ref="B34:B35"/>
    <mergeCell ref="C34:C35"/>
    <mergeCell ref="D34:D35"/>
    <mergeCell ref="E34:E35"/>
    <mergeCell ref="F34:F35"/>
    <mergeCell ref="G34:G35"/>
    <mergeCell ref="A32:A33"/>
    <mergeCell ref="B32:B33"/>
    <mergeCell ref="C32:C33"/>
    <mergeCell ref="D32:D33"/>
    <mergeCell ref="E32:E33"/>
    <mergeCell ref="F32:F33"/>
    <mergeCell ref="H34:H35"/>
    <mergeCell ref="I34:I35"/>
    <mergeCell ref="A30:A31"/>
    <mergeCell ref="B30:B31"/>
    <mergeCell ref="C30:C31"/>
    <mergeCell ref="D30:D31"/>
    <mergeCell ref="E30:E31"/>
    <mergeCell ref="F30:F31"/>
    <mergeCell ref="G30:G31"/>
    <mergeCell ref="H30:H31"/>
    <mergeCell ref="I30:I31"/>
    <mergeCell ref="A28:A29"/>
    <mergeCell ref="B28:B29"/>
    <mergeCell ref="C28:C29"/>
    <mergeCell ref="D28:D29"/>
    <mergeCell ref="E28:E29"/>
    <mergeCell ref="F28:F29"/>
    <mergeCell ref="G28:G29"/>
    <mergeCell ref="H28:H29"/>
    <mergeCell ref="I28:I29"/>
    <mergeCell ref="G24:G25"/>
    <mergeCell ref="H24:H25"/>
    <mergeCell ref="I24:I25"/>
    <mergeCell ref="A26:A27"/>
    <mergeCell ref="B26:B27"/>
    <mergeCell ref="C26:C27"/>
    <mergeCell ref="D26:D27"/>
    <mergeCell ref="E26:E27"/>
    <mergeCell ref="F26:F27"/>
    <mergeCell ref="G26:G27"/>
    <mergeCell ref="A24:A25"/>
    <mergeCell ref="B24:B25"/>
    <mergeCell ref="C24:C25"/>
    <mergeCell ref="D24:D25"/>
    <mergeCell ref="E24:E25"/>
    <mergeCell ref="F24:F25"/>
    <mergeCell ref="H26:H27"/>
    <mergeCell ref="I26:I27"/>
    <mergeCell ref="A22:A23"/>
    <mergeCell ref="B22:B23"/>
    <mergeCell ref="C22:C23"/>
    <mergeCell ref="D22:D23"/>
    <mergeCell ref="E22:E23"/>
    <mergeCell ref="F22:F23"/>
    <mergeCell ref="G22:G23"/>
    <mergeCell ref="H22:H23"/>
    <mergeCell ref="I22:I23"/>
    <mergeCell ref="A20:A21"/>
    <mergeCell ref="B20:B21"/>
    <mergeCell ref="C20:C21"/>
    <mergeCell ref="D20:D21"/>
    <mergeCell ref="E20:E21"/>
    <mergeCell ref="F20:F21"/>
    <mergeCell ref="G20:G21"/>
    <mergeCell ref="H20:H21"/>
    <mergeCell ref="I20:I21"/>
    <mergeCell ref="G16:G17"/>
    <mergeCell ref="H16:H17"/>
    <mergeCell ref="I16:I17"/>
    <mergeCell ref="A18:A19"/>
    <mergeCell ref="B18:B19"/>
    <mergeCell ref="C18:C19"/>
    <mergeCell ref="D18:D19"/>
    <mergeCell ref="E18:E19"/>
    <mergeCell ref="F18:F19"/>
    <mergeCell ref="G18:G19"/>
    <mergeCell ref="A16:A17"/>
    <mergeCell ref="B16:B17"/>
    <mergeCell ref="C16:C17"/>
    <mergeCell ref="D16:D17"/>
    <mergeCell ref="E16:E17"/>
    <mergeCell ref="F16:F17"/>
    <mergeCell ref="H18:H19"/>
    <mergeCell ref="I18:I19"/>
    <mergeCell ref="A14:A15"/>
    <mergeCell ref="B14:B15"/>
    <mergeCell ref="C14:C15"/>
    <mergeCell ref="D14:D15"/>
    <mergeCell ref="E14:E15"/>
    <mergeCell ref="F14:F15"/>
    <mergeCell ref="G14:G15"/>
    <mergeCell ref="H14:H15"/>
    <mergeCell ref="I14:I15"/>
    <mergeCell ref="A12:A13"/>
    <mergeCell ref="B12:B13"/>
    <mergeCell ref="C12:C13"/>
    <mergeCell ref="D12:D13"/>
    <mergeCell ref="E12:E13"/>
    <mergeCell ref="F12:F13"/>
    <mergeCell ref="G12:G13"/>
    <mergeCell ref="H12:H13"/>
    <mergeCell ref="I12:I13"/>
    <mergeCell ref="G8:G9"/>
    <mergeCell ref="H8:H9"/>
    <mergeCell ref="I8:I9"/>
    <mergeCell ref="A10:A11"/>
    <mergeCell ref="B10:B11"/>
    <mergeCell ref="C10:C11"/>
    <mergeCell ref="D10:D11"/>
    <mergeCell ref="E10:E11"/>
    <mergeCell ref="F10:F11"/>
    <mergeCell ref="G10:G11"/>
    <mergeCell ref="A8:A9"/>
    <mergeCell ref="B8:B9"/>
    <mergeCell ref="C8:C9"/>
    <mergeCell ref="D8:D9"/>
    <mergeCell ref="E8:E9"/>
    <mergeCell ref="F8:F9"/>
    <mergeCell ref="H10:H11"/>
    <mergeCell ref="I10:I11"/>
    <mergeCell ref="A1:F3"/>
    <mergeCell ref="G1:V1"/>
    <mergeCell ref="W1:X1"/>
    <mergeCell ref="G2:V3"/>
    <mergeCell ref="W2:X2"/>
    <mergeCell ref="W3:X3"/>
    <mergeCell ref="AA4:AA5"/>
    <mergeCell ref="A6:A7"/>
    <mergeCell ref="B6:B7"/>
    <mergeCell ref="C6:C7"/>
    <mergeCell ref="D6:D7"/>
    <mergeCell ref="E6:E7"/>
    <mergeCell ref="F6:F7"/>
    <mergeCell ref="G6:G7"/>
    <mergeCell ref="H6:H7"/>
    <mergeCell ref="I6:I7"/>
    <mergeCell ref="A4:J4"/>
    <mergeCell ref="K4:V4"/>
    <mergeCell ref="W4:W5"/>
    <mergeCell ref="X4:X5"/>
    <mergeCell ref="Y4:Y5"/>
    <mergeCell ref="Z4:Z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66"/>
  <sheetViews>
    <sheetView topLeftCell="A49" workbookViewId="0">
      <selection activeCell="B54" sqref="B54:B55"/>
    </sheetView>
  </sheetViews>
  <sheetFormatPr baseColWidth="10" defaultColWidth="9.140625" defaultRowHeight="15" x14ac:dyDescent="0.25"/>
  <cols>
    <col min="1" max="1" width="8.42578125" style="206" customWidth="1"/>
    <col min="2" max="2" width="38.5703125" customWidth="1"/>
    <col min="3" max="3" width="20.28515625" customWidth="1"/>
    <col min="4" max="4" width="10.140625" customWidth="1"/>
    <col min="5" max="5" width="12.28515625" customWidth="1"/>
    <col min="7" max="7" width="14.140625" customWidth="1"/>
    <col min="8" max="8" width="12.42578125" customWidth="1"/>
    <col min="10" max="10" width="11.5703125" customWidth="1"/>
    <col min="12" max="14" width="0" hidden="1" customWidth="1"/>
  </cols>
  <sheetData>
    <row r="1" spans="1:23" ht="15.75" thickBot="1" x14ac:dyDescent="0.3">
      <c r="A1" s="1245" t="s">
        <v>885</v>
      </c>
      <c r="B1" s="1245"/>
      <c r="C1" s="556" t="s">
        <v>885</v>
      </c>
      <c r="D1" s="556" t="s">
        <v>885</v>
      </c>
      <c r="E1" s="556" t="s">
        <v>885</v>
      </c>
      <c r="F1" s="556" t="s">
        <v>885</v>
      </c>
      <c r="G1" s="557" t="s">
        <v>885</v>
      </c>
      <c r="H1" s="1276" t="s">
        <v>2021</v>
      </c>
      <c r="I1" s="1276"/>
      <c r="J1" s="1276"/>
      <c r="K1" s="1276"/>
      <c r="L1" s="1276"/>
      <c r="M1" s="1276"/>
      <c r="N1" s="1276"/>
      <c r="O1" s="1276"/>
      <c r="P1" s="1276"/>
      <c r="Q1" s="1276"/>
      <c r="R1" s="1276"/>
      <c r="S1" s="1276"/>
      <c r="T1" s="1276"/>
      <c r="U1" s="1276"/>
      <c r="V1" s="1276"/>
      <c r="W1" s="1276"/>
    </row>
    <row r="2" spans="1:23" x14ac:dyDescent="0.25">
      <c r="A2" s="1247"/>
      <c r="B2" s="1247"/>
      <c r="C2" s="558" t="s">
        <v>885</v>
      </c>
      <c r="D2" s="558" t="s">
        <v>885</v>
      </c>
      <c r="E2" s="558" t="s">
        <v>885</v>
      </c>
      <c r="F2" s="558" t="s">
        <v>885</v>
      </c>
      <c r="G2" s="559" t="s">
        <v>885</v>
      </c>
      <c r="H2" s="1324" t="s">
        <v>2138</v>
      </c>
      <c r="I2" s="1325"/>
      <c r="J2" s="1325"/>
      <c r="K2" s="1325"/>
      <c r="L2" s="1325"/>
      <c r="M2" s="1325"/>
      <c r="N2" s="1325"/>
      <c r="O2" s="1325"/>
      <c r="P2" s="1325"/>
      <c r="Q2" s="1325"/>
      <c r="R2" s="1325"/>
      <c r="S2" s="1325"/>
      <c r="T2" s="1325"/>
      <c r="U2" s="1325"/>
      <c r="V2" s="1325"/>
      <c r="W2" s="1325"/>
    </row>
    <row r="3" spans="1:23" ht="15.75" thickBot="1" x14ac:dyDescent="0.3">
      <c r="A3" s="1249"/>
      <c r="B3" s="1249"/>
      <c r="C3" s="560" t="s">
        <v>885</v>
      </c>
      <c r="D3" s="560" t="s">
        <v>885</v>
      </c>
      <c r="E3" s="560" t="s">
        <v>885</v>
      </c>
      <c r="F3" s="560" t="s">
        <v>885</v>
      </c>
      <c r="G3" s="561" t="s">
        <v>885</v>
      </c>
      <c r="H3" s="1326"/>
      <c r="I3" s="1327"/>
      <c r="J3" s="1327"/>
      <c r="K3" s="1327"/>
      <c r="L3" s="1327"/>
      <c r="M3" s="1327"/>
      <c r="N3" s="1327"/>
      <c r="O3" s="1327"/>
      <c r="P3" s="1327"/>
      <c r="Q3" s="1327"/>
      <c r="R3" s="1327"/>
      <c r="S3" s="1327"/>
      <c r="T3" s="1327"/>
      <c r="U3" s="1327"/>
      <c r="V3" s="1327"/>
      <c r="W3" s="1327"/>
    </row>
    <row r="4" spans="1:23" ht="15.75" thickBot="1" x14ac:dyDescent="0.3">
      <c r="A4" s="1275" t="s">
        <v>885</v>
      </c>
      <c r="B4" s="1276"/>
      <c r="C4" s="562" t="s">
        <v>885</v>
      </c>
      <c r="D4" s="562" t="s">
        <v>885</v>
      </c>
      <c r="E4" s="562" t="s">
        <v>885</v>
      </c>
      <c r="F4" s="563">
        <v>45440</v>
      </c>
      <c r="G4" s="562" t="s">
        <v>885</v>
      </c>
      <c r="H4" s="562" t="s">
        <v>885</v>
      </c>
      <c r="I4" s="562" t="s">
        <v>885</v>
      </c>
      <c r="J4" s="562" t="s">
        <v>885</v>
      </c>
      <c r="K4" s="564" t="s">
        <v>885</v>
      </c>
      <c r="L4" s="1325" t="s">
        <v>2027</v>
      </c>
      <c r="M4" s="1325"/>
      <c r="N4" s="1325"/>
      <c r="O4" s="1325"/>
      <c r="P4" s="1325"/>
      <c r="Q4" s="1325"/>
      <c r="R4" s="1325"/>
      <c r="S4" s="1325"/>
      <c r="T4" s="1325"/>
      <c r="U4" s="1325"/>
      <c r="V4" s="1325"/>
      <c r="W4" s="1328"/>
    </row>
    <row r="5" spans="1:23" ht="35.25" thickBot="1" x14ac:dyDescent="0.3">
      <c r="A5" s="212" t="s">
        <v>885</v>
      </c>
      <c r="B5" s="565" t="s">
        <v>2142</v>
      </c>
      <c r="C5" s="566" t="s">
        <v>1975</v>
      </c>
      <c r="D5" s="566" t="s">
        <v>2143</v>
      </c>
      <c r="E5" s="566" t="s">
        <v>2144</v>
      </c>
      <c r="F5" s="566" t="s">
        <v>2145</v>
      </c>
      <c r="G5" s="567" t="s">
        <v>2033</v>
      </c>
      <c r="H5" s="567" t="s">
        <v>2030</v>
      </c>
      <c r="I5" s="567" t="s">
        <v>2146</v>
      </c>
      <c r="J5" s="567" t="s">
        <v>2090</v>
      </c>
      <c r="K5" s="562" t="s">
        <v>1975</v>
      </c>
      <c r="L5" s="568" t="s">
        <v>1976</v>
      </c>
      <c r="M5" s="569" t="s">
        <v>1977</v>
      </c>
      <c r="N5" s="570" t="s">
        <v>1978</v>
      </c>
      <c r="O5" s="569" t="s">
        <v>1979</v>
      </c>
      <c r="P5" s="569" t="s">
        <v>1980</v>
      </c>
      <c r="Q5" s="570" t="s">
        <v>1981</v>
      </c>
      <c r="R5" s="569" t="s">
        <v>1982</v>
      </c>
      <c r="S5" s="569" t="s">
        <v>1983</v>
      </c>
      <c r="T5" s="570" t="s">
        <v>1984</v>
      </c>
      <c r="U5" s="569" t="s">
        <v>1985</v>
      </c>
      <c r="V5" s="569" t="s">
        <v>1986</v>
      </c>
      <c r="W5" s="570" t="s">
        <v>1987</v>
      </c>
    </row>
    <row r="6" spans="1:23" ht="23.25" x14ac:dyDescent="0.25">
      <c r="A6" s="1329">
        <v>1</v>
      </c>
      <c r="B6" s="1331" t="s">
        <v>2147</v>
      </c>
      <c r="C6" s="1333" t="s">
        <v>885</v>
      </c>
      <c r="D6" s="1271" t="s">
        <v>1422</v>
      </c>
      <c r="E6" s="1271" t="s">
        <v>885</v>
      </c>
      <c r="F6" s="1271" t="s">
        <v>885</v>
      </c>
      <c r="G6" s="1336" t="s">
        <v>2037</v>
      </c>
      <c r="H6" s="1271" t="s">
        <v>2148</v>
      </c>
      <c r="I6" s="1271" t="s">
        <v>885</v>
      </c>
      <c r="J6" s="1271" t="s">
        <v>2149</v>
      </c>
      <c r="K6" s="571" t="s">
        <v>2150</v>
      </c>
      <c r="L6" s="572">
        <v>1</v>
      </c>
      <c r="M6" s="573"/>
      <c r="N6" s="574"/>
      <c r="O6" s="573"/>
      <c r="P6" s="575"/>
      <c r="Q6" s="576"/>
      <c r="R6" s="573"/>
      <c r="S6" s="573"/>
      <c r="T6" s="574"/>
      <c r="U6" s="573"/>
      <c r="V6" s="577"/>
      <c r="W6" s="578"/>
    </row>
    <row r="7" spans="1:23" x14ac:dyDescent="0.25">
      <c r="A7" s="1330"/>
      <c r="B7" s="1332"/>
      <c r="C7" s="1334"/>
      <c r="D7" s="1335"/>
      <c r="E7" s="1335"/>
      <c r="F7" s="1335"/>
      <c r="G7" s="1337"/>
      <c r="H7" s="1335"/>
      <c r="I7" s="1335"/>
      <c r="J7" s="1335"/>
      <c r="K7" s="579" t="s">
        <v>2151</v>
      </c>
      <c r="L7" s="572">
        <v>1</v>
      </c>
      <c r="M7" s="573"/>
      <c r="N7" s="574"/>
      <c r="O7" s="580"/>
      <c r="P7" s="581"/>
      <c r="Q7" s="582"/>
      <c r="R7" s="580"/>
      <c r="S7" s="580"/>
      <c r="T7" s="582"/>
      <c r="U7" s="580"/>
      <c r="V7" s="575"/>
      <c r="W7" s="583"/>
    </row>
    <row r="8" spans="1:23" ht="23.25" x14ac:dyDescent="0.25">
      <c r="A8" s="1329">
        <v>2</v>
      </c>
      <c r="B8" s="1331" t="s">
        <v>2152</v>
      </c>
      <c r="C8" s="1333" t="s">
        <v>885</v>
      </c>
      <c r="D8" s="1271" t="s">
        <v>2153</v>
      </c>
      <c r="E8" s="1271" t="s">
        <v>885</v>
      </c>
      <c r="F8" s="1271" t="s">
        <v>885</v>
      </c>
      <c r="G8" s="1342" t="s">
        <v>2037</v>
      </c>
      <c r="H8" s="1271" t="s">
        <v>2154</v>
      </c>
      <c r="I8" s="1271" t="s">
        <v>885</v>
      </c>
      <c r="J8" s="1271" t="s">
        <v>2149</v>
      </c>
      <c r="K8" s="584" t="s">
        <v>2150</v>
      </c>
      <c r="L8" s="572">
        <v>1</v>
      </c>
      <c r="M8" s="573"/>
      <c r="N8" s="574"/>
      <c r="O8" s="585"/>
      <c r="P8" s="585"/>
      <c r="Q8" s="586"/>
      <c r="R8" s="585"/>
      <c r="S8" s="585"/>
      <c r="T8" s="586"/>
      <c r="U8" s="585"/>
      <c r="V8" s="585"/>
      <c r="W8" s="586"/>
    </row>
    <row r="9" spans="1:23" x14ac:dyDescent="0.25">
      <c r="A9" s="1330"/>
      <c r="B9" s="1332"/>
      <c r="C9" s="1334"/>
      <c r="D9" s="1335"/>
      <c r="E9" s="1335"/>
      <c r="F9" s="1335"/>
      <c r="G9" s="1337"/>
      <c r="H9" s="1335"/>
      <c r="I9" s="1335"/>
      <c r="J9" s="1335"/>
      <c r="K9" s="579" t="s">
        <v>2151</v>
      </c>
      <c r="L9" s="572">
        <v>1</v>
      </c>
      <c r="M9" s="573"/>
      <c r="N9" s="574"/>
      <c r="O9" s="587"/>
      <c r="P9" s="587"/>
      <c r="Q9" s="588"/>
      <c r="R9" s="587"/>
      <c r="S9" s="587"/>
      <c r="T9" s="588"/>
      <c r="U9" s="587"/>
      <c r="V9" s="587"/>
      <c r="W9" s="588"/>
    </row>
    <row r="10" spans="1:23" ht="23.25" x14ac:dyDescent="0.25">
      <c r="A10" s="1329">
        <v>4</v>
      </c>
      <c r="B10" s="1331" t="s">
        <v>2155</v>
      </c>
      <c r="C10" s="1333" t="s">
        <v>2195</v>
      </c>
      <c r="D10" s="1271" t="s">
        <v>2156</v>
      </c>
      <c r="E10" s="1338" t="s">
        <v>2157</v>
      </c>
      <c r="F10" s="1340" t="s">
        <v>2158</v>
      </c>
      <c r="G10" s="1342" t="s">
        <v>2037</v>
      </c>
      <c r="H10" s="1271" t="s">
        <v>2159</v>
      </c>
      <c r="I10" s="1271" t="s">
        <v>2102</v>
      </c>
      <c r="J10" s="1271" t="s">
        <v>2149</v>
      </c>
      <c r="K10" s="584" t="s">
        <v>2150</v>
      </c>
      <c r="L10" s="589"/>
      <c r="M10" s="590"/>
      <c r="N10" s="574"/>
      <c r="O10" s="590"/>
      <c r="P10" s="590"/>
      <c r="Q10" s="591"/>
      <c r="R10" s="590"/>
      <c r="S10" s="590"/>
      <c r="T10" s="591"/>
      <c r="U10" s="590"/>
      <c r="V10" s="590"/>
      <c r="W10" s="591"/>
    </row>
    <row r="11" spans="1:23" x14ac:dyDescent="0.25">
      <c r="A11" s="1330"/>
      <c r="B11" s="1332"/>
      <c r="C11" s="1334"/>
      <c r="D11" s="1335"/>
      <c r="E11" s="1339"/>
      <c r="F11" s="1341"/>
      <c r="G11" s="1337"/>
      <c r="H11" s="1335"/>
      <c r="I11" s="1335"/>
      <c r="J11" s="1335"/>
      <c r="K11" s="579" t="s">
        <v>2151</v>
      </c>
      <c r="L11" s="589"/>
      <c r="M11" s="573"/>
      <c r="N11" s="574"/>
      <c r="O11" s="590"/>
      <c r="P11" s="590"/>
      <c r="Q11" s="591"/>
      <c r="R11" s="573"/>
      <c r="S11" s="573"/>
      <c r="T11" s="574"/>
      <c r="U11" s="573"/>
      <c r="V11" s="577"/>
      <c r="W11" s="592"/>
    </row>
    <row r="12" spans="1:23" ht="23.25" x14ac:dyDescent="0.25">
      <c r="A12" s="1329">
        <v>5</v>
      </c>
      <c r="B12" s="1347" t="s">
        <v>2160</v>
      </c>
      <c r="C12" s="1349" t="s">
        <v>2196</v>
      </c>
      <c r="D12" s="1271" t="s">
        <v>2156</v>
      </c>
      <c r="E12" s="1271" t="s">
        <v>2161</v>
      </c>
      <c r="F12" s="1271" t="s">
        <v>2162</v>
      </c>
      <c r="G12" s="1342" t="s">
        <v>2037</v>
      </c>
      <c r="H12" s="1271" t="s">
        <v>2159</v>
      </c>
      <c r="I12" s="1271" t="s">
        <v>2102</v>
      </c>
      <c r="J12" s="1271" t="s">
        <v>2149</v>
      </c>
      <c r="K12" s="584" t="s">
        <v>2150</v>
      </c>
      <c r="L12" s="589"/>
      <c r="M12" s="573"/>
      <c r="N12" s="574"/>
      <c r="O12" s="573"/>
      <c r="P12" s="573"/>
      <c r="Q12" s="574"/>
      <c r="R12" s="573">
        <v>1</v>
      </c>
      <c r="S12" s="573"/>
      <c r="T12" s="591"/>
      <c r="U12" s="573"/>
      <c r="V12" s="577"/>
      <c r="W12" s="592"/>
    </row>
    <row r="13" spans="1:23" x14ac:dyDescent="0.25">
      <c r="A13" s="1330"/>
      <c r="B13" s="1348"/>
      <c r="C13" s="1350"/>
      <c r="D13" s="1335"/>
      <c r="E13" s="1335"/>
      <c r="F13" s="1335"/>
      <c r="G13" s="1337"/>
      <c r="H13" s="1335"/>
      <c r="I13" s="1335"/>
      <c r="J13" s="1335"/>
      <c r="K13" s="579" t="s">
        <v>2151</v>
      </c>
      <c r="L13" s="589"/>
      <c r="M13" s="573"/>
      <c r="N13" s="574"/>
      <c r="O13" s="573"/>
      <c r="P13" s="573"/>
      <c r="Q13" s="574"/>
      <c r="R13" s="573"/>
      <c r="S13" s="573"/>
      <c r="T13" s="574"/>
      <c r="U13" s="573"/>
      <c r="V13" s="577"/>
      <c r="W13" s="592"/>
    </row>
    <row r="14" spans="1:23" ht="23.25" x14ac:dyDescent="0.25">
      <c r="A14" s="1329">
        <v>6</v>
      </c>
      <c r="B14" s="1343" t="s">
        <v>2163</v>
      </c>
      <c r="C14" s="1345" t="s">
        <v>885</v>
      </c>
      <c r="D14" s="1271" t="s">
        <v>2156</v>
      </c>
      <c r="E14" s="1271" t="s">
        <v>2161</v>
      </c>
      <c r="F14" s="1340" t="s">
        <v>2158</v>
      </c>
      <c r="G14" s="1342" t="s">
        <v>2037</v>
      </c>
      <c r="H14" s="1271" t="s">
        <v>2159</v>
      </c>
      <c r="I14" s="1271" t="s">
        <v>2102</v>
      </c>
      <c r="J14" s="1271" t="s">
        <v>2149</v>
      </c>
      <c r="K14" s="584" t="s">
        <v>2150</v>
      </c>
      <c r="L14" s="589"/>
      <c r="M14" s="573"/>
      <c r="N14" s="574"/>
      <c r="O14" s="573"/>
      <c r="P14" s="573"/>
      <c r="Q14" s="591"/>
      <c r="R14" s="573"/>
      <c r="S14" s="573">
        <v>1</v>
      </c>
      <c r="T14" s="574"/>
      <c r="U14" s="573"/>
      <c r="V14" s="577"/>
      <c r="W14" s="592"/>
    </row>
    <row r="15" spans="1:23" x14ac:dyDescent="0.25">
      <c r="A15" s="1330"/>
      <c r="B15" s="1344"/>
      <c r="C15" s="1346"/>
      <c r="D15" s="1335"/>
      <c r="E15" s="1335"/>
      <c r="F15" s="1341"/>
      <c r="G15" s="1337"/>
      <c r="H15" s="1335"/>
      <c r="I15" s="1335"/>
      <c r="J15" s="1335"/>
      <c r="K15" s="579" t="s">
        <v>2151</v>
      </c>
      <c r="L15" s="589"/>
      <c r="M15" s="580"/>
      <c r="N15" s="574"/>
      <c r="O15" s="573"/>
      <c r="P15" s="573"/>
      <c r="Q15" s="574"/>
      <c r="R15" s="573"/>
      <c r="S15" s="573"/>
      <c r="T15" s="574"/>
      <c r="U15" s="573"/>
      <c r="V15" s="577"/>
      <c r="W15" s="592"/>
    </row>
    <row r="16" spans="1:23" ht="23.25" x14ac:dyDescent="0.25">
      <c r="A16" s="1329">
        <v>7</v>
      </c>
      <c r="B16" s="1331" t="s">
        <v>2164</v>
      </c>
      <c r="C16" s="1333" t="s">
        <v>885</v>
      </c>
      <c r="D16" s="1271" t="s">
        <v>2156</v>
      </c>
      <c r="E16" s="1271" t="s">
        <v>2161</v>
      </c>
      <c r="F16" s="1340" t="s">
        <v>2158</v>
      </c>
      <c r="G16" s="1342" t="s">
        <v>2037</v>
      </c>
      <c r="H16" s="1271" t="s">
        <v>2159</v>
      </c>
      <c r="I16" s="1271" t="s">
        <v>2102</v>
      </c>
      <c r="J16" s="1271" t="s">
        <v>2149</v>
      </c>
      <c r="K16" s="584" t="s">
        <v>2150</v>
      </c>
      <c r="L16" s="593"/>
      <c r="M16" s="594"/>
      <c r="N16" s="574"/>
      <c r="O16" s="573"/>
      <c r="P16" s="573"/>
      <c r="Q16" s="574"/>
      <c r="R16" s="573"/>
      <c r="S16" s="573"/>
      <c r="T16" s="574"/>
      <c r="U16" s="573"/>
      <c r="V16" s="577"/>
      <c r="W16" s="595">
        <v>1</v>
      </c>
    </row>
    <row r="17" spans="1:23" x14ac:dyDescent="0.25">
      <c r="A17" s="1330"/>
      <c r="B17" s="1332"/>
      <c r="C17" s="1334"/>
      <c r="D17" s="1335"/>
      <c r="E17" s="1335"/>
      <c r="F17" s="1341"/>
      <c r="G17" s="1337"/>
      <c r="H17" s="1335"/>
      <c r="I17" s="1335"/>
      <c r="J17" s="1335"/>
      <c r="K17" s="579" t="s">
        <v>2151</v>
      </c>
      <c r="L17" s="593"/>
      <c r="M17" s="596"/>
      <c r="N17" s="574"/>
      <c r="O17" s="573"/>
      <c r="P17" s="573"/>
      <c r="Q17" s="574"/>
      <c r="R17" s="573"/>
      <c r="S17" s="573"/>
      <c r="T17" s="574"/>
      <c r="U17" s="573"/>
      <c r="V17" s="577"/>
      <c r="W17" s="592"/>
    </row>
    <row r="18" spans="1:23" ht="23.25" x14ac:dyDescent="0.25">
      <c r="A18" s="1329">
        <v>8</v>
      </c>
      <c r="B18" s="1331" t="s">
        <v>2165</v>
      </c>
      <c r="C18" s="1333" t="s">
        <v>885</v>
      </c>
      <c r="D18" s="1271" t="s">
        <v>2156</v>
      </c>
      <c r="E18" s="1271" t="s">
        <v>2161</v>
      </c>
      <c r="F18" s="1271" t="s">
        <v>2166</v>
      </c>
      <c r="G18" s="1342" t="s">
        <v>2037</v>
      </c>
      <c r="H18" s="1271" t="s">
        <v>2159</v>
      </c>
      <c r="I18" s="1271" t="s">
        <v>2102</v>
      </c>
      <c r="J18" s="1271" t="s">
        <v>2149</v>
      </c>
      <c r="K18" s="584" t="s">
        <v>2150</v>
      </c>
      <c r="L18" s="589"/>
      <c r="M18" s="573"/>
      <c r="N18" s="574"/>
      <c r="O18" s="573"/>
      <c r="P18" s="590"/>
      <c r="Q18" s="574"/>
      <c r="R18" s="573"/>
      <c r="S18" s="573"/>
      <c r="T18" s="574"/>
      <c r="U18" s="573"/>
      <c r="V18" s="577"/>
      <c r="W18" s="592"/>
    </row>
    <row r="19" spans="1:23" x14ac:dyDescent="0.25">
      <c r="A19" s="1330"/>
      <c r="B19" s="1332"/>
      <c r="C19" s="1334"/>
      <c r="D19" s="1335"/>
      <c r="E19" s="1335"/>
      <c r="F19" s="1335"/>
      <c r="G19" s="1337"/>
      <c r="H19" s="1335"/>
      <c r="I19" s="1335"/>
      <c r="J19" s="1335"/>
      <c r="K19" s="579" t="s">
        <v>2151</v>
      </c>
      <c r="L19" s="589"/>
      <c r="M19" s="573"/>
      <c r="N19" s="574"/>
      <c r="O19" s="573"/>
      <c r="P19" s="590"/>
      <c r="Q19" s="574"/>
      <c r="R19" s="573"/>
      <c r="S19" s="573"/>
      <c r="T19" s="574"/>
      <c r="U19" s="573"/>
      <c r="V19" s="577"/>
      <c r="W19" s="592"/>
    </row>
    <row r="20" spans="1:23" ht="23.25" x14ac:dyDescent="0.25">
      <c r="A20" s="1329">
        <v>9</v>
      </c>
      <c r="B20" s="1331" t="s">
        <v>2197</v>
      </c>
      <c r="C20" s="1351" t="s">
        <v>2198</v>
      </c>
      <c r="D20" s="1271" t="s">
        <v>2156</v>
      </c>
      <c r="E20" s="1271" t="s">
        <v>2161</v>
      </c>
      <c r="F20" s="1340" t="s">
        <v>2158</v>
      </c>
      <c r="G20" s="1342" t="s">
        <v>2037</v>
      </c>
      <c r="H20" s="1271" t="s">
        <v>2159</v>
      </c>
      <c r="I20" s="1271" t="s">
        <v>2102</v>
      </c>
      <c r="J20" s="1271" t="s">
        <v>2149</v>
      </c>
      <c r="K20" s="584" t="s">
        <v>2150</v>
      </c>
      <c r="L20" s="589"/>
      <c r="M20" s="573"/>
      <c r="N20" s="574"/>
      <c r="O20" s="590"/>
      <c r="P20" s="590"/>
      <c r="Q20" s="597"/>
      <c r="R20" s="573">
        <v>1</v>
      </c>
      <c r="S20" s="573"/>
      <c r="T20" s="574"/>
      <c r="U20" s="573"/>
      <c r="V20" s="577"/>
      <c r="W20" s="592"/>
    </row>
    <row r="21" spans="1:23" x14ac:dyDescent="0.25">
      <c r="A21" s="1330"/>
      <c r="B21" s="1332"/>
      <c r="C21" s="1352"/>
      <c r="D21" s="1335"/>
      <c r="E21" s="1335"/>
      <c r="F21" s="1341"/>
      <c r="G21" s="1337"/>
      <c r="H21" s="1335"/>
      <c r="I21" s="1335"/>
      <c r="J21" s="1335"/>
      <c r="K21" s="579" t="s">
        <v>2151</v>
      </c>
      <c r="L21" s="589"/>
      <c r="M21" s="573"/>
      <c r="N21" s="574"/>
      <c r="O21" s="573"/>
      <c r="P21" s="590"/>
      <c r="Q21" s="598"/>
      <c r="R21" s="573"/>
      <c r="S21" s="573"/>
      <c r="T21" s="574"/>
      <c r="U21" s="573"/>
      <c r="V21" s="577"/>
      <c r="W21" s="592"/>
    </row>
    <row r="22" spans="1:23" ht="23.25" x14ac:dyDescent="0.25">
      <c r="A22" s="1329">
        <v>10</v>
      </c>
      <c r="B22" s="1331" t="s">
        <v>2168</v>
      </c>
      <c r="C22" s="1351" t="s">
        <v>2199</v>
      </c>
      <c r="D22" s="1271" t="s">
        <v>2156</v>
      </c>
      <c r="E22" s="1271" t="s">
        <v>2161</v>
      </c>
      <c r="F22" s="1340" t="s">
        <v>2158</v>
      </c>
      <c r="G22" s="1342" t="s">
        <v>2037</v>
      </c>
      <c r="H22" s="1271" t="s">
        <v>2159</v>
      </c>
      <c r="I22" s="1271" t="s">
        <v>2102</v>
      </c>
      <c r="J22" s="1271" t="s">
        <v>2149</v>
      </c>
      <c r="K22" s="584" t="s">
        <v>2150</v>
      </c>
      <c r="L22" s="589"/>
      <c r="M22" s="573"/>
      <c r="N22" s="574"/>
      <c r="O22" s="590"/>
      <c r="P22" s="590"/>
      <c r="Q22" s="574"/>
      <c r="R22" s="573"/>
      <c r="S22" s="573"/>
      <c r="T22" s="574"/>
      <c r="U22" s="573"/>
      <c r="V22" s="577"/>
      <c r="W22" s="592"/>
    </row>
    <row r="23" spans="1:23" x14ac:dyDescent="0.25">
      <c r="A23" s="1330"/>
      <c r="B23" s="1332"/>
      <c r="C23" s="1352"/>
      <c r="D23" s="1335"/>
      <c r="E23" s="1335"/>
      <c r="F23" s="1341"/>
      <c r="G23" s="1337"/>
      <c r="H23" s="1335"/>
      <c r="I23" s="1335"/>
      <c r="J23" s="1335"/>
      <c r="K23" s="579" t="s">
        <v>2151</v>
      </c>
      <c r="L23" s="589"/>
      <c r="M23" s="573"/>
      <c r="N23" s="574"/>
      <c r="O23" s="573"/>
      <c r="P23" s="590"/>
      <c r="Q23" s="582"/>
      <c r="R23" s="573"/>
      <c r="S23" s="590"/>
      <c r="T23" s="574"/>
      <c r="U23" s="573"/>
      <c r="V23" s="577"/>
      <c r="W23" s="592"/>
    </row>
    <row r="24" spans="1:23" ht="42" customHeight="1" x14ac:dyDescent="0.25">
      <c r="A24" s="1329">
        <v>11</v>
      </c>
      <c r="B24" s="1353" t="s">
        <v>2200</v>
      </c>
      <c r="C24" s="1351" t="s">
        <v>885</v>
      </c>
      <c r="D24" s="1271" t="s">
        <v>2156</v>
      </c>
      <c r="E24" s="1271" t="s">
        <v>2170</v>
      </c>
      <c r="F24" s="1340" t="s">
        <v>2158</v>
      </c>
      <c r="G24" s="1342" t="s">
        <v>2037</v>
      </c>
      <c r="H24" s="1271" t="s">
        <v>2159</v>
      </c>
      <c r="I24" s="1271" t="s">
        <v>2102</v>
      </c>
      <c r="J24" s="1271" t="s">
        <v>2149</v>
      </c>
      <c r="K24" s="584" t="s">
        <v>2150</v>
      </c>
      <c r="L24" s="589"/>
      <c r="M24" s="573"/>
      <c r="N24" s="574"/>
      <c r="O24" s="573"/>
      <c r="P24" s="590"/>
      <c r="Q24" s="599"/>
      <c r="R24" s="590"/>
      <c r="S24" s="590">
        <v>1</v>
      </c>
      <c r="T24" s="574"/>
      <c r="U24" s="573"/>
      <c r="V24" s="577">
        <v>1</v>
      </c>
      <c r="W24" s="592"/>
    </row>
    <row r="25" spans="1:23" ht="55.5" customHeight="1" x14ac:dyDescent="0.25">
      <c r="A25" s="1330"/>
      <c r="B25" s="1354"/>
      <c r="C25" s="1352"/>
      <c r="D25" s="1335"/>
      <c r="E25" s="1335"/>
      <c r="F25" s="1341"/>
      <c r="G25" s="1337"/>
      <c r="H25" s="1335"/>
      <c r="I25" s="1335"/>
      <c r="J25" s="1335"/>
      <c r="K25" s="579" t="s">
        <v>2151</v>
      </c>
      <c r="L25" s="589"/>
      <c r="M25" s="573"/>
      <c r="N25" s="574"/>
      <c r="O25" s="573"/>
      <c r="P25" s="577"/>
      <c r="Q25" s="592"/>
      <c r="R25" s="573"/>
      <c r="S25" s="573"/>
      <c r="T25" s="574"/>
      <c r="U25" s="573"/>
      <c r="V25" s="577"/>
      <c r="W25" s="592"/>
    </row>
    <row r="26" spans="1:23" ht="23.25" x14ac:dyDescent="0.25">
      <c r="A26" s="1329">
        <v>12</v>
      </c>
      <c r="B26" s="1331" t="s">
        <v>2171</v>
      </c>
      <c r="C26" s="1333" t="s">
        <v>885</v>
      </c>
      <c r="D26" s="1271" t="s">
        <v>2156</v>
      </c>
      <c r="E26" s="1271" t="s">
        <v>2170</v>
      </c>
      <c r="F26" s="1340" t="s">
        <v>2158</v>
      </c>
      <c r="G26" s="1342" t="s">
        <v>2037</v>
      </c>
      <c r="H26" s="1271" t="s">
        <v>2159</v>
      </c>
      <c r="I26" s="1271" t="s">
        <v>2102</v>
      </c>
      <c r="J26" s="1271" t="s">
        <v>2149</v>
      </c>
      <c r="K26" s="584" t="s">
        <v>2150</v>
      </c>
      <c r="L26" s="589"/>
      <c r="M26" s="573"/>
      <c r="N26" s="574"/>
      <c r="O26" s="573"/>
      <c r="P26" s="573"/>
      <c r="Q26" s="574"/>
      <c r="R26" s="590"/>
      <c r="S26" s="573"/>
      <c r="T26" s="574"/>
      <c r="U26" s="573"/>
      <c r="V26" s="577"/>
      <c r="W26" s="592"/>
    </row>
    <row r="27" spans="1:23" x14ac:dyDescent="0.25">
      <c r="A27" s="1330"/>
      <c r="B27" s="1332"/>
      <c r="C27" s="1334"/>
      <c r="D27" s="1335"/>
      <c r="E27" s="1335"/>
      <c r="F27" s="1341"/>
      <c r="G27" s="1337"/>
      <c r="H27" s="1335"/>
      <c r="I27" s="1335"/>
      <c r="J27" s="1335"/>
      <c r="K27" s="579" t="s">
        <v>2151</v>
      </c>
      <c r="L27" s="589"/>
      <c r="M27" s="573"/>
      <c r="N27" s="574"/>
      <c r="O27" s="573"/>
      <c r="P27" s="573"/>
      <c r="Q27" s="574"/>
      <c r="R27" s="573"/>
      <c r="S27" s="573"/>
      <c r="T27" s="574"/>
      <c r="U27" s="573"/>
      <c r="V27" s="577"/>
      <c r="W27" s="592"/>
    </row>
    <row r="28" spans="1:23" ht="23.25" x14ac:dyDescent="0.25">
      <c r="A28" s="1329">
        <v>13</v>
      </c>
      <c r="B28" s="1331" t="s">
        <v>2172</v>
      </c>
      <c r="C28" s="1351" t="s">
        <v>2201</v>
      </c>
      <c r="D28" s="1271" t="s">
        <v>2156</v>
      </c>
      <c r="E28" s="1271" t="s">
        <v>2173</v>
      </c>
      <c r="F28" s="1340" t="s">
        <v>2158</v>
      </c>
      <c r="G28" s="1342" t="s">
        <v>2037</v>
      </c>
      <c r="H28" s="1271" t="s">
        <v>2159</v>
      </c>
      <c r="I28" s="1271" t="s">
        <v>2102</v>
      </c>
      <c r="J28" s="1271" t="s">
        <v>2149</v>
      </c>
      <c r="K28" s="584" t="s">
        <v>2150</v>
      </c>
      <c r="L28" s="589"/>
      <c r="M28" s="573"/>
      <c r="N28" s="591"/>
      <c r="O28" s="573"/>
      <c r="P28" s="600"/>
      <c r="Q28" s="574"/>
      <c r="R28" s="573"/>
      <c r="S28" s="573">
        <v>1</v>
      </c>
      <c r="T28" s="574"/>
      <c r="U28" s="573"/>
      <c r="V28" s="577"/>
      <c r="W28" s="592"/>
    </row>
    <row r="29" spans="1:23" x14ac:dyDescent="0.25">
      <c r="A29" s="1330"/>
      <c r="B29" s="1332"/>
      <c r="C29" s="1352"/>
      <c r="D29" s="1335"/>
      <c r="E29" s="1335"/>
      <c r="F29" s="1341"/>
      <c r="G29" s="1337"/>
      <c r="H29" s="1335"/>
      <c r="I29" s="1335"/>
      <c r="J29" s="1335"/>
      <c r="K29" s="579" t="s">
        <v>2151</v>
      </c>
      <c r="L29" s="589"/>
      <c r="M29" s="580"/>
      <c r="N29" s="574"/>
      <c r="O29" s="573"/>
      <c r="P29" s="601"/>
      <c r="Q29" s="574"/>
      <c r="R29" s="573"/>
      <c r="S29" s="573"/>
      <c r="T29" s="574"/>
      <c r="U29" s="573"/>
      <c r="V29" s="577"/>
      <c r="W29" s="592"/>
    </row>
    <row r="30" spans="1:23" ht="23.25" x14ac:dyDescent="0.25">
      <c r="A30" s="1329">
        <v>14</v>
      </c>
      <c r="B30" s="1331" t="s">
        <v>2174</v>
      </c>
      <c r="C30" s="1351" t="s">
        <v>2201</v>
      </c>
      <c r="D30" s="1271" t="s">
        <v>2156</v>
      </c>
      <c r="E30" s="1271" t="s">
        <v>2173</v>
      </c>
      <c r="F30" s="1340" t="s">
        <v>2158</v>
      </c>
      <c r="G30" s="1342" t="s">
        <v>2037</v>
      </c>
      <c r="H30" s="1271" t="s">
        <v>2159</v>
      </c>
      <c r="I30" s="1271" t="s">
        <v>2102</v>
      </c>
      <c r="J30" s="1271" t="s">
        <v>2149</v>
      </c>
      <c r="K30" s="584" t="s">
        <v>2150</v>
      </c>
      <c r="L30" s="593"/>
      <c r="M30" s="594"/>
      <c r="N30" s="591"/>
      <c r="O30" s="575"/>
      <c r="P30" s="602"/>
      <c r="Q30" s="574"/>
      <c r="R30" s="573"/>
      <c r="S30" s="573">
        <v>1</v>
      </c>
      <c r="T30" s="574"/>
      <c r="U30" s="573"/>
      <c r="V30" s="577"/>
      <c r="W30" s="592"/>
    </row>
    <row r="31" spans="1:23" x14ac:dyDescent="0.25">
      <c r="A31" s="1330"/>
      <c r="B31" s="1332"/>
      <c r="C31" s="1352"/>
      <c r="D31" s="1335"/>
      <c r="E31" s="1335"/>
      <c r="F31" s="1341"/>
      <c r="G31" s="1337"/>
      <c r="H31" s="1335"/>
      <c r="I31" s="1335"/>
      <c r="J31" s="1335"/>
      <c r="K31" s="579" t="s">
        <v>2151</v>
      </c>
      <c r="L31" s="593"/>
      <c r="M31" s="596"/>
      <c r="N31" s="574"/>
      <c r="O31" s="603"/>
      <c r="P31" s="604"/>
      <c r="Q31" s="574"/>
      <c r="R31" s="573"/>
      <c r="S31" s="573"/>
      <c r="T31" s="574"/>
      <c r="U31" s="573"/>
      <c r="V31" s="577"/>
      <c r="W31" s="592"/>
    </row>
    <row r="32" spans="1:23" ht="23.25" x14ac:dyDescent="0.25">
      <c r="A32" s="1329">
        <v>15</v>
      </c>
      <c r="B32" s="1331" t="s">
        <v>2202</v>
      </c>
      <c r="C32" s="1351" t="s">
        <v>2198</v>
      </c>
      <c r="D32" s="1271" t="s">
        <v>2156</v>
      </c>
      <c r="E32" s="1271" t="s">
        <v>2173</v>
      </c>
      <c r="F32" s="1340" t="s">
        <v>2158</v>
      </c>
      <c r="G32" s="1342" t="s">
        <v>2037</v>
      </c>
      <c r="H32" s="1271" t="s">
        <v>2159</v>
      </c>
      <c r="I32" s="1271" t="s">
        <v>2102</v>
      </c>
      <c r="J32" s="1271" t="s">
        <v>2149</v>
      </c>
      <c r="K32" s="584" t="s">
        <v>2150</v>
      </c>
      <c r="L32" s="589"/>
      <c r="M32" s="573"/>
      <c r="N32" s="591"/>
      <c r="O32" s="605"/>
      <c r="P32" s="587"/>
      <c r="Q32" s="597"/>
      <c r="R32" s="573">
        <v>1</v>
      </c>
      <c r="S32" s="573"/>
      <c r="T32" s="574"/>
      <c r="U32" s="573"/>
      <c r="V32" s="577"/>
      <c r="W32" s="592"/>
    </row>
    <row r="33" spans="1:23" x14ac:dyDescent="0.25">
      <c r="A33" s="1330"/>
      <c r="B33" s="1332"/>
      <c r="C33" s="1352"/>
      <c r="D33" s="1335"/>
      <c r="E33" s="1335"/>
      <c r="F33" s="1341"/>
      <c r="G33" s="1337"/>
      <c r="H33" s="1335"/>
      <c r="I33" s="1335"/>
      <c r="J33" s="1335"/>
      <c r="K33" s="579" t="s">
        <v>2151</v>
      </c>
      <c r="L33" s="589"/>
      <c r="M33" s="573"/>
      <c r="N33" s="574"/>
      <c r="O33" s="577"/>
      <c r="P33" s="606"/>
      <c r="Q33" s="574"/>
      <c r="R33" s="573"/>
      <c r="S33" s="573"/>
      <c r="T33" s="574"/>
      <c r="U33" s="573"/>
      <c r="V33" s="577"/>
      <c r="W33" s="592"/>
    </row>
    <row r="34" spans="1:23" ht="23.25" x14ac:dyDescent="0.25">
      <c r="A34" s="1329">
        <v>16</v>
      </c>
      <c r="B34" s="1331" t="s">
        <v>2176</v>
      </c>
      <c r="C34" s="1355" t="s">
        <v>885</v>
      </c>
      <c r="D34" s="1271" t="s">
        <v>2156</v>
      </c>
      <c r="E34" s="1338" t="s">
        <v>2157</v>
      </c>
      <c r="F34" s="1340" t="s">
        <v>2158</v>
      </c>
      <c r="G34" s="1342" t="s">
        <v>2037</v>
      </c>
      <c r="H34" s="1271" t="s">
        <v>2159</v>
      </c>
      <c r="I34" s="1271" t="s">
        <v>2102</v>
      </c>
      <c r="J34" s="1271" t="s">
        <v>2149</v>
      </c>
      <c r="K34" s="584" t="s">
        <v>2150</v>
      </c>
      <c r="L34" s="589"/>
      <c r="M34" s="573"/>
      <c r="N34" s="574"/>
      <c r="O34" s="573"/>
      <c r="P34" s="590"/>
      <c r="Q34" s="574"/>
      <c r="R34" s="573"/>
      <c r="S34" s="573"/>
      <c r="T34" s="574"/>
      <c r="U34" s="573">
        <v>1</v>
      </c>
      <c r="V34" s="577"/>
      <c r="W34" s="592"/>
    </row>
    <row r="35" spans="1:23" x14ac:dyDescent="0.25">
      <c r="A35" s="1330"/>
      <c r="B35" s="1332"/>
      <c r="C35" s="1356"/>
      <c r="D35" s="1335"/>
      <c r="E35" s="1339"/>
      <c r="F35" s="1341"/>
      <c r="G35" s="1337"/>
      <c r="H35" s="1335"/>
      <c r="I35" s="1335"/>
      <c r="J35" s="1335"/>
      <c r="K35" s="579" t="s">
        <v>2151</v>
      </c>
      <c r="L35" s="589"/>
      <c r="M35" s="573"/>
      <c r="N35" s="574"/>
      <c r="O35" s="573"/>
      <c r="P35" s="573"/>
      <c r="Q35" s="574"/>
      <c r="R35" s="573"/>
      <c r="S35" s="573"/>
      <c r="T35" s="574"/>
      <c r="U35" s="573"/>
      <c r="V35" s="577"/>
      <c r="W35" s="592"/>
    </row>
    <row r="36" spans="1:23" ht="23.25" x14ac:dyDescent="0.25">
      <c r="A36" s="1329">
        <v>18</v>
      </c>
      <c r="B36" s="1331" t="s">
        <v>2177</v>
      </c>
      <c r="C36" s="1357" t="s">
        <v>2203</v>
      </c>
      <c r="D36" s="1271" t="s">
        <v>2156</v>
      </c>
      <c r="E36" s="1340" t="s">
        <v>2178</v>
      </c>
      <c r="F36" s="1340" t="s">
        <v>2158</v>
      </c>
      <c r="G36" s="1342" t="s">
        <v>2204</v>
      </c>
      <c r="H36" s="1271" t="s">
        <v>2179</v>
      </c>
      <c r="I36" s="1271" t="s">
        <v>2102</v>
      </c>
      <c r="J36" s="1271" t="s">
        <v>2149</v>
      </c>
      <c r="K36" s="584" t="s">
        <v>2150</v>
      </c>
      <c r="L36" s="589"/>
      <c r="M36" s="573"/>
      <c r="N36" s="574"/>
      <c r="O36" s="573"/>
      <c r="P36" s="573"/>
      <c r="Q36" s="591">
        <v>1</v>
      </c>
      <c r="R36" s="573"/>
      <c r="S36" s="573"/>
      <c r="T36" s="574"/>
      <c r="U36" s="573"/>
      <c r="V36" s="577"/>
      <c r="W36" s="592"/>
    </row>
    <row r="37" spans="1:23" x14ac:dyDescent="0.25">
      <c r="A37" s="1330"/>
      <c r="B37" s="1332"/>
      <c r="C37" s="1358"/>
      <c r="D37" s="1335"/>
      <c r="E37" s="1341"/>
      <c r="F37" s="1341"/>
      <c r="G37" s="1337"/>
      <c r="H37" s="1335"/>
      <c r="I37" s="1335"/>
      <c r="J37" s="1335"/>
      <c r="K37" s="579" t="s">
        <v>2151</v>
      </c>
      <c r="L37" s="589"/>
      <c r="M37" s="573"/>
      <c r="N37" s="574"/>
      <c r="O37" s="573"/>
      <c r="P37" s="573"/>
      <c r="Q37" s="591">
        <v>1</v>
      </c>
      <c r="R37" s="573"/>
      <c r="S37" s="573"/>
      <c r="T37" s="574"/>
      <c r="U37" s="573"/>
      <c r="V37" s="577"/>
      <c r="W37" s="592"/>
    </row>
    <row r="38" spans="1:23" ht="23.25" x14ac:dyDescent="0.25">
      <c r="A38" s="1329">
        <v>19</v>
      </c>
      <c r="B38" s="1331" t="s">
        <v>2181</v>
      </c>
      <c r="C38" s="1357" t="s">
        <v>2205</v>
      </c>
      <c r="D38" s="1271" t="s">
        <v>2156</v>
      </c>
      <c r="E38" s="1340" t="s">
        <v>2178</v>
      </c>
      <c r="F38" s="1340" t="s">
        <v>2158</v>
      </c>
      <c r="G38" s="1342" t="s">
        <v>2037</v>
      </c>
      <c r="H38" s="1271" t="s">
        <v>2179</v>
      </c>
      <c r="I38" s="1359" t="s">
        <v>2180</v>
      </c>
      <c r="J38" s="1271" t="s">
        <v>2149</v>
      </c>
      <c r="K38" s="584" t="s">
        <v>2150</v>
      </c>
      <c r="L38" s="589"/>
      <c r="M38" s="573"/>
      <c r="N38" s="574"/>
      <c r="O38" s="573"/>
      <c r="P38" s="573"/>
      <c r="Q38" s="574">
        <v>1</v>
      </c>
      <c r="R38" s="590"/>
      <c r="S38" s="607"/>
      <c r="T38" s="574"/>
      <c r="U38" s="573"/>
      <c r="V38" s="577"/>
      <c r="W38" s="592"/>
    </row>
    <row r="39" spans="1:23" x14ac:dyDescent="0.25">
      <c r="A39" s="1330"/>
      <c r="B39" s="1332"/>
      <c r="C39" s="1358"/>
      <c r="D39" s="1335"/>
      <c r="E39" s="1341"/>
      <c r="F39" s="1341"/>
      <c r="G39" s="1337"/>
      <c r="H39" s="1335"/>
      <c r="I39" s="1360"/>
      <c r="J39" s="1335"/>
      <c r="K39" s="579" t="s">
        <v>2151</v>
      </c>
      <c r="L39" s="589"/>
      <c r="M39" s="573"/>
      <c r="N39" s="574"/>
      <c r="O39" s="573"/>
      <c r="P39" s="573"/>
      <c r="Q39" s="574"/>
      <c r="R39" s="590"/>
      <c r="S39" s="607"/>
      <c r="T39" s="574"/>
      <c r="U39" s="573"/>
      <c r="V39" s="577"/>
      <c r="W39" s="592"/>
    </row>
    <row r="40" spans="1:23" ht="23.25" x14ac:dyDescent="0.25">
      <c r="A40" s="1329">
        <v>20</v>
      </c>
      <c r="B40" s="1361" t="s">
        <v>2182</v>
      </c>
      <c r="C40" s="1357" t="s">
        <v>885</v>
      </c>
      <c r="D40" s="1271" t="s">
        <v>2156</v>
      </c>
      <c r="E40" s="1338" t="s">
        <v>2157</v>
      </c>
      <c r="F40" s="1340" t="s">
        <v>2158</v>
      </c>
      <c r="G40" s="1342" t="s">
        <v>2037</v>
      </c>
      <c r="H40" s="1271" t="s">
        <v>2179</v>
      </c>
      <c r="I40" s="1359" t="s">
        <v>2180</v>
      </c>
      <c r="J40" s="1271" t="s">
        <v>2149</v>
      </c>
      <c r="K40" s="584" t="s">
        <v>2150</v>
      </c>
      <c r="L40" s="589"/>
      <c r="M40" s="573"/>
      <c r="N40" s="574"/>
      <c r="O40" s="573"/>
      <c r="P40" s="573"/>
      <c r="Q40" s="574"/>
      <c r="R40" s="573"/>
      <c r="S40" s="573"/>
      <c r="T40" s="591">
        <v>1</v>
      </c>
      <c r="U40" s="573"/>
      <c r="V40" s="577"/>
      <c r="W40" s="592"/>
    </row>
    <row r="41" spans="1:23" x14ac:dyDescent="0.25">
      <c r="A41" s="1330"/>
      <c r="B41" s="1362"/>
      <c r="C41" s="1358"/>
      <c r="D41" s="1335"/>
      <c r="E41" s="1339"/>
      <c r="F41" s="1341"/>
      <c r="G41" s="1337"/>
      <c r="H41" s="1335"/>
      <c r="I41" s="1360"/>
      <c r="J41" s="1335"/>
      <c r="K41" s="579" t="s">
        <v>2151</v>
      </c>
      <c r="L41" s="589"/>
      <c r="M41" s="573"/>
      <c r="N41" s="574"/>
      <c r="O41" s="573"/>
      <c r="P41" s="573"/>
      <c r="Q41" s="574"/>
      <c r="R41" s="573"/>
      <c r="S41" s="573"/>
      <c r="T41" s="574"/>
      <c r="U41" s="573"/>
      <c r="V41" s="577"/>
      <c r="W41" s="592"/>
    </row>
    <row r="42" spans="1:23" ht="23.25" x14ac:dyDescent="0.25">
      <c r="A42" s="1329">
        <v>22</v>
      </c>
      <c r="B42" s="1361" t="s">
        <v>2183</v>
      </c>
      <c r="C42" s="1357" t="s">
        <v>2206</v>
      </c>
      <c r="D42" s="1271" t="s">
        <v>2156</v>
      </c>
      <c r="E42" s="1271" t="s">
        <v>2173</v>
      </c>
      <c r="F42" s="1340" t="s">
        <v>2158</v>
      </c>
      <c r="G42" s="1342" t="s">
        <v>2037</v>
      </c>
      <c r="H42" s="1271" t="s">
        <v>2159</v>
      </c>
      <c r="I42" s="1359" t="s">
        <v>2102</v>
      </c>
      <c r="J42" s="1271" t="s">
        <v>2149</v>
      </c>
      <c r="K42" s="584" t="s">
        <v>2150</v>
      </c>
      <c r="L42" s="589"/>
      <c r="M42" s="573"/>
      <c r="N42" s="574"/>
      <c r="O42" s="573"/>
      <c r="P42" s="590">
        <v>1</v>
      </c>
      <c r="Q42" s="574"/>
      <c r="R42" s="573"/>
      <c r="S42" s="573"/>
      <c r="T42" s="574"/>
      <c r="U42" s="573"/>
      <c r="V42" s="577"/>
      <c r="W42" s="592"/>
    </row>
    <row r="43" spans="1:23" x14ac:dyDescent="0.25">
      <c r="A43" s="1330"/>
      <c r="B43" s="1362"/>
      <c r="C43" s="1358"/>
      <c r="D43" s="1335"/>
      <c r="E43" s="1335"/>
      <c r="F43" s="1341"/>
      <c r="G43" s="1337"/>
      <c r="H43" s="1335"/>
      <c r="I43" s="1360"/>
      <c r="J43" s="1335"/>
      <c r="K43" s="579" t="s">
        <v>2151</v>
      </c>
      <c r="L43" s="589"/>
      <c r="M43" s="573"/>
      <c r="N43" s="574"/>
      <c r="O43" s="573"/>
      <c r="P43" s="590">
        <v>1</v>
      </c>
      <c r="Q43" s="574"/>
      <c r="R43" s="573"/>
      <c r="S43" s="573"/>
      <c r="T43" s="574"/>
      <c r="U43" s="573"/>
      <c r="V43" s="577"/>
      <c r="W43" s="592"/>
    </row>
    <row r="44" spans="1:23" ht="23.25" x14ac:dyDescent="0.25">
      <c r="A44" s="1329">
        <v>23</v>
      </c>
      <c r="B44" s="1364" t="s">
        <v>2207</v>
      </c>
      <c r="C44" s="1366" t="s">
        <v>2208</v>
      </c>
      <c r="D44" s="1271" t="s">
        <v>2156</v>
      </c>
      <c r="E44" s="1333" t="s">
        <v>885</v>
      </c>
      <c r="F44" s="1333" t="s">
        <v>2209</v>
      </c>
      <c r="G44" s="1359" t="s">
        <v>2037</v>
      </c>
      <c r="H44" s="1271" t="s">
        <v>2159</v>
      </c>
      <c r="I44" s="1359" t="s">
        <v>2102</v>
      </c>
      <c r="J44" s="1333" t="s">
        <v>885</v>
      </c>
      <c r="K44" s="584" t="s">
        <v>2150</v>
      </c>
      <c r="L44" s="589"/>
      <c r="M44" s="573"/>
      <c r="N44" s="574"/>
      <c r="O44" s="573"/>
      <c r="P44" s="590"/>
      <c r="Q44" s="574">
        <v>1</v>
      </c>
      <c r="R44" s="573"/>
      <c r="S44" s="573"/>
      <c r="T44" s="574"/>
      <c r="U44" s="573"/>
      <c r="V44" s="577"/>
      <c r="W44" s="592"/>
    </row>
    <row r="45" spans="1:23" x14ac:dyDescent="0.25">
      <c r="A45" s="1330"/>
      <c r="B45" s="1365"/>
      <c r="C45" s="1367"/>
      <c r="D45" s="1335"/>
      <c r="E45" s="1363"/>
      <c r="F45" s="1363"/>
      <c r="G45" s="1360"/>
      <c r="H45" s="1335"/>
      <c r="I45" s="1360"/>
      <c r="J45" s="1363"/>
      <c r="K45" s="579" t="s">
        <v>2151</v>
      </c>
      <c r="L45" s="589"/>
      <c r="M45" s="573"/>
      <c r="N45" s="574"/>
      <c r="O45" s="573"/>
      <c r="P45" s="608"/>
      <c r="Q45" s="582">
        <v>1</v>
      </c>
      <c r="R45" s="573"/>
      <c r="S45" s="573"/>
      <c r="T45" s="574"/>
      <c r="U45" s="573"/>
      <c r="V45" s="577"/>
      <c r="W45" s="592"/>
    </row>
    <row r="46" spans="1:23" ht="23.25" x14ac:dyDescent="0.25">
      <c r="A46" s="1329">
        <v>24</v>
      </c>
      <c r="B46" s="1364" t="s">
        <v>2210</v>
      </c>
      <c r="C46" s="1366" t="s">
        <v>2211</v>
      </c>
      <c r="D46" s="1271" t="s">
        <v>2156</v>
      </c>
      <c r="E46" s="1271" t="s">
        <v>885</v>
      </c>
      <c r="F46" s="1340" t="s">
        <v>2158</v>
      </c>
      <c r="G46" s="1342" t="s">
        <v>2037</v>
      </c>
      <c r="H46" s="1271" t="s">
        <v>2185</v>
      </c>
      <c r="I46" s="1271" t="s">
        <v>885</v>
      </c>
      <c r="J46" s="1271" t="s">
        <v>2149</v>
      </c>
      <c r="K46" s="584" t="s">
        <v>2150</v>
      </c>
      <c r="L46" s="589"/>
      <c r="M46" s="573"/>
      <c r="N46" s="574"/>
      <c r="O46" s="577"/>
      <c r="P46" s="609"/>
      <c r="Q46" s="610"/>
      <c r="R46" s="590">
        <v>1</v>
      </c>
      <c r="S46" s="573"/>
      <c r="T46" s="574"/>
      <c r="U46" s="573"/>
      <c r="V46" s="577"/>
      <c r="W46" s="592"/>
    </row>
    <row r="47" spans="1:23" x14ac:dyDescent="0.25">
      <c r="A47" s="1330"/>
      <c r="B47" s="1365"/>
      <c r="C47" s="1367"/>
      <c r="D47" s="1335"/>
      <c r="E47" s="1335"/>
      <c r="F47" s="1341"/>
      <c r="G47" s="1337"/>
      <c r="H47" s="1335"/>
      <c r="I47" s="1335"/>
      <c r="J47" s="1335"/>
      <c r="K47" s="579" t="s">
        <v>2151</v>
      </c>
      <c r="L47" s="589"/>
      <c r="M47" s="573"/>
      <c r="N47" s="574"/>
      <c r="O47" s="577"/>
      <c r="P47" s="606"/>
      <c r="Q47" s="611"/>
      <c r="R47" s="590">
        <v>1</v>
      </c>
      <c r="S47" s="573"/>
      <c r="T47" s="574"/>
      <c r="U47" s="573"/>
      <c r="V47" s="577"/>
      <c r="W47" s="592"/>
    </row>
    <row r="48" spans="1:23" ht="23.25" x14ac:dyDescent="0.25">
      <c r="A48" s="1329">
        <v>25</v>
      </c>
      <c r="B48" s="1361" t="s">
        <v>2184</v>
      </c>
      <c r="C48" s="1357" t="s">
        <v>2212</v>
      </c>
      <c r="D48" s="1271" t="s">
        <v>2156</v>
      </c>
      <c r="E48" s="1271" t="s">
        <v>2173</v>
      </c>
      <c r="F48" s="1340" t="s">
        <v>2158</v>
      </c>
      <c r="G48" s="1342" t="s">
        <v>2037</v>
      </c>
      <c r="H48" s="1271" t="s">
        <v>2185</v>
      </c>
      <c r="I48" s="1359" t="s">
        <v>2180</v>
      </c>
      <c r="J48" s="1271" t="s">
        <v>2149</v>
      </c>
      <c r="K48" s="584" t="s">
        <v>2150</v>
      </c>
      <c r="L48" s="589"/>
      <c r="M48" s="573"/>
      <c r="N48" s="574"/>
      <c r="O48" s="573"/>
      <c r="P48" s="590">
        <v>1</v>
      </c>
      <c r="Q48" s="574">
        <v>1</v>
      </c>
      <c r="R48" s="573">
        <v>1</v>
      </c>
      <c r="S48" s="573"/>
      <c r="T48" s="574"/>
      <c r="U48" s="573"/>
      <c r="V48" s="577"/>
      <c r="W48" s="592"/>
    </row>
    <row r="49" spans="1:23" x14ac:dyDescent="0.25">
      <c r="A49" s="1330"/>
      <c r="B49" s="1362"/>
      <c r="C49" s="1358"/>
      <c r="D49" s="1335"/>
      <c r="E49" s="1335"/>
      <c r="F49" s="1341"/>
      <c r="G49" s="1337"/>
      <c r="H49" s="1335"/>
      <c r="I49" s="1360"/>
      <c r="J49" s="1335"/>
      <c r="K49" s="579" t="s">
        <v>2151</v>
      </c>
      <c r="L49" s="589"/>
      <c r="M49" s="573"/>
      <c r="N49" s="574"/>
      <c r="O49" s="573"/>
      <c r="P49" s="590">
        <v>1</v>
      </c>
      <c r="Q49" s="574">
        <v>1</v>
      </c>
      <c r="R49" s="573">
        <v>1</v>
      </c>
      <c r="S49" s="573"/>
      <c r="T49" s="574"/>
      <c r="U49" s="573"/>
      <c r="V49" s="577"/>
      <c r="W49" s="592"/>
    </row>
    <row r="50" spans="1:23" ht="23.25" x14ac:dyDescent="0.25">
      <c r="A50" s="1329">
        <v>26</v>
      </c>
      <c r="B50" s="1361" t="s">
        <v>2186</v>
      </c>
      <c r="C50" s="1357" t="s">
        <v>2213</v>
      </c>
      <c r="D50" s="1271" t="s">
        <v>2156</v>
      </c>
      <c r="E50" s="1338" t="s">
        <v>2157</v>
      </c>
      <c r="F50" s="1340" t="s">
        <v>2158</v>
      </c>
      <c r="G50" s="1342" t="s">
        <v>2037</v>
      </c>
      <c r="H50" s="1271" t="s">
        <v>2159</v>
      </c>
      <c r="I50" s="1359" t="s">
        <v>2102</v>
      </c>
      <c r="J50" s="1271" t="s">
        <v>2149</v>
      </c>
      <c r="K50" s="584" t="s">
        <v>2150</v>
      </c>
      <c r="L50" s="589"/>
      <c r="M50" s="573"/>
      <c r="N50" s="574"/>
      <c r="O50" s="573"/>
      <c r="P50" s="573"/>
      <c r="Q50" s="574"/>
      <c r="R50" s="612"/>
      <c r="S50" s="573"/>
      <c r="T50" s="574">
        <v>1</v>
      </c>
      <c r="U50" s="573"/>
      <c r="V50" s="577"/>
      <c r="W50" s="595"/>
    </row>
    <row r="51" spans="1:23" x14ac:dyDescent="0.25">
      <c r="A51" s="1330"/>
      <c r="B51" s="1362"/>
      <c r="C51" s="1358"/>
      <c r="D51" s="1335"/>
      <c r="E51" s="1339"/>
      <c r="F51" s="1341"/>
      <c r="G51" s="1337"/>
      <c r="H51" s="1335"/>
      <c r="I51" s="1360"/>
      <c r="J51" s="1335"/>
      <c r="K51" s="579" t="s">
        <v>2151</v>
      </c>
      <c r="L51" s="589"/>
      <c r="M51" s="573"/>
      <c r="N51" s="574"/>
      <c r="O51" s="573"/>
      <c r="P51" s="573"/>
      <c r="Q51" s="574"/>
      <c r="R51" s="573"/>
      <c r="S51" s="573"/>
      <c r="T51" s="574"/>
      <c r="U51" s="573"/>
      <c r="V51" s="577"/>
      <c r="W51" s="592"/>
    </row>
    <row r="52" spans="1:23" ht="23.25" x14ac:dyDescent="0.25">
      <c r="A52" s="1329">
        <v>27</v>
      </c>
      <c r="B52" s="1361" t="s">
        <v>2187</v>
      </c>
      <c r="C52" s="1357" t="s">
        <v>885</v>
      </c>
      <c r="D52" s="1271" t="s">
        <v>2156</v>
      </c>
      <c r="E52" s="1338" t="s">
        <v>2157</v>
      </c>
      <c r="F52" s="1340" t="s">
        <v>2158</v>
      </c>
      <c r="G52" s="1342" t="s">
        <v>2037</v>
      </c>
      <c r="H52" s="1271" t="s">
        <v>2159</v>
      </c>
      <c r="I52" s="1359" t="s">
        <v>2102</v>
      </c>
      <c r="J52" s="1271" t="s">
        <v>2149</v>
      </c>
      <c r="K52" s="584" t="s">
        <v>2150</v>
      </c>
      <c r="L52" s="589"/>
      <c r="M52" s="573"/>
      <c r="N52" s="574"/>
      <c r="O52" s="573"/>
      <c r="P52" s="573"/>
      <c r="Q52" s="574"/>
      <c r="R52" s="573"/>
      <c r="S52" s="590"/>
      <c r="T52" s="574"/>
      <c r="U52" s="573"/>
      <c r="V52" s="577"/>
      <c r="W52" s="592"/>
    </row>
    <row r="53" spans="1:23" x14ac:dyDescent="0.25">
      <c r="A53" s="1330"/>
      <c r="B53" s="1362"/>
      <c r="C53" s="1358"/>
      <c r="D53" s="1335"/>
      <c r="E53" s="1339"/>
      <c r="F53" s="1341"/>
      <c r="G53" s="1337"/>
      <c r="H53" s="1335"/>
      <c r="I53" s="1360"/>
      <c r="J53" s="1335"/>
      <c r="K53" s="579" t="s">
        <v>2151</v>
      </c>
      <c r="L53" s="589"/>
      <c r="M53" s="573"/>
      <c r="N53" s="574"/>
      <c r="O53" s="573"/>
      <c r="P53" s="573"/>
      <c r="Q53" s="574"/>
      <c r="R53" s="573"/>
      <c r="S53" s="573"/>
      <c r="T53" s="574"/>
      <c r="U53" s="573"/>
      <c r="V53" s="577"/>
      <c r="W53" s="592"/>
    </row>
    <row r="54" spans="1:23" ht="23.25" x14ac:dyDescent="0.25">
      <c r="A54" s="1329">
        <v>28</v>
      </c>
      <c r="B54" s="1361" t="s">
        <v>2188</v>
      </c>
      <c r="C54" s="1355" t="s">
        <v>885</v>
      </c>
      <c r="D54" s="1271" t="s">
        <v>2156</v>
      </c>
      <c r="E54" s="1340" t="s">
        <v>2178</v>
      </c>
      <c r="F54" s="1340" t="s">
        <v>2158</v>
      </c>
      <c r="G54" s="1342" t="s">
        <v>2037</v>
      </c>
      <c r="H54" s="1271" t="s">
        <v>2179</v>
      </c>
      <c r="I54" s="1359" t="s">
        <v>2180</v>
      </c>
      <c r="J54" s="1271" t="s">
        <v>2149</v>
      </c>
      <c r="K54" s="584" t="s">
        <v>2150</v>
      </c>
      <c r="L54" s="589"/>
      <c r="M54" s="590">
        <v>1</v>
      </c>
      <c r="N54" s="591"/>
      <c r="O54" s="590"/>
      <c r="P54" s="600">
        <v>1</v>
      </c>
      <c r="Q54" s="600">
        <v>1</v>
      </c>
      <c r="R54" s="600">
        <v>1</v>
      </c>
      <c r="S54" s="590"/>
      <c r="T54" s="591"/>
      <c r="U54" s="590">
        <v>1</v>
      </c>
      <c r="V54" s="613"/>
      <c r="W54" s="595"/>
    </row>
    <row r="55" spans="1:23" x14ac:dyDescent="0.25">
      <c r="A55" s="1330"/>
      <c r="B55" s="1362"/>
      <c r="C55" s="1356"/>
      <c r="D55" s="1335"/>
      <c r="E55" s="1341"/>
      <c r="F55" s="1341"/>
      <c r="G55" s="1337"/>
      <c r="H55" s="1335"/>
      <c r="I55" s="1360"/>
      <c r="J55" s="1335"/>
      <c r="K55" s="579" t="s">
        <v>2151</v>
      </c>
      <c r="L55" s="589"/>
      <c r="M55" s="573">
        <v>1</v>
      </c>
      <c r="N55" s="574"/>
      <c r="O55" s="573"/>
      <c r="P55" s="573">
        <v>1</v>
      </c>
      <c r="Q55" s="573">
        <v>1</v>
      </c>
      <c r="R55" s="573">
        <v>1</v>
      </c>
      <c r="S55" s="573"/>
      <c r="T55" s="574"/>
      <c r="U55" s="573"/>
      <c r="V55" s="577"/>
      <c r="W55" s="592"/>
    </row>
    <row r="56" spans="1:23" ht="23.25" x14ac:dyDescent="0.25">
      <c r="A56" s="1329">
        <v>29</v>
      </c>
      <c r="B56" s="1361" t="s">
        <v>2189</v>
      </c>
      <c r="C56" s="1357" t="s">
        <v>885</v>
      </c>
      <c r="D56" s="1271" t="s">
        <v>2156</v>
      </c>
      <c r="E56" s="1340" t="s">
        <v>2178</v>
      </c>
      <c r="F56" s="1340" t="s">
        <v>2190</v>
      </c>
      <c r="G56" s="1342" t="s">
        <v>2037</v>
      </c>
      <c r="H56" s="1271" t="s">
        <v>2159</v>
      </c>
      <c r="I56" s="1359" t="s">
        <v>2102</v>
      </c>
      <c r="J56" s="1271" t="s">
        <v>2149</v>
      </c>
      <c r="K56" s="584" t="s">
        <v>2150</v>
      </c>
      <c r="L56" s="589"/>
      <c r="M56" s="573"/>
      <c r="N56" s="574"/>
      <c r="O56" s="573"/>
      <c r="P56" s="573"/>
      <c r="Q56" s="574"/>
      <c r="R56" s="573"/>
      <c r="S56" s="573"/>
      <c r="T56" s="591">
        <v>1</v>
      </c>
      <c r="U56" s="573"/>
      <c r="V56" s="577"/>
      <c r="W56" s="592"/>
    </row>
    <row r="57" spans="1:23" x14ac:dyDescent="0.25">
      <c r="A57" s="1330"/>
      <c r="B57" s="1362"/>
      <c r="C57" s="1358"/>
      <c r="D57" s="1335"/>
      <c r="E57" s="1341"/>
      <c r="F57" s="1341"/>
      <c r="G57" s="1337"/>
      <c r="H57" s="1335"/>
      <c r="I57" s="1360"/>
      <c r="J57" s="1335"/>
      <c r="K57" s="579" t="s">
        <v>2151</v>
      </c>
      <c r="L57" s="589"/>
      <c r="M57" s="573"/>
      <c r="N57" s="574"/>
      <c r="O57" s="573"/>
      <c r="P57" s="573"/>
      <c r="Q57" s="574"/>
      <c r="R57" s="573"/>
      <c r="S57" s="573"/>
      <c r="T57" s="574"/>
      <c r="U57" s="573"/>
      <c r="V57" s="577"/>
      <c r="W57" s="592"/>
    </row>
    <row r="58" spans="1:23" ht="23.25" x14ac:dyDescent="0.25">
      <c r="A58" s="1329">
        <v>30</v>
      </c>
      <c r="B58" s="1361" t="s">
        <v>2191</v>
      </c>
      <c r="C58" s="1357" t="s">
        <v>2195</v>
      </c>
      <c r="D58" s="1271" t="s">
        <v>2156</v>
      </c>
      <c r="E58" s="1340" t="s">
        <v>2178</v>
      </c>
      <c r="F58" s="1340" t="s">
        <v>2192</v>
      </c>
      <c r="G58" s="1342" t="s">
        <v>2037</v>
      </c>
      <c r="H58" s="1271" t="s">
        <v>2159</v>
      </c>
      <c r="I58" s="1359" t="s">
        <v>2102</v>
      </c>
      <c r="J58" s="1271" t="s">
        <v>2149</v>
      </c>
      <c r="K58" s="584" t="s">
        <v>2150</v>
      </c>
      <c r="L58" s="589"/>
      <c r="M58" s="573"/>
      <c r="N58" s="574"/>
      <c r="O58" s="573"/>
      <c r="P58" s="573"/>
      <c r="Q58" s="591"/>
      <c r="R58" s="573">
        <v>1</v>
      </c>
      <c r="S58" s="573"/>
      <c r="T58" s="574"/>
      <c r="U58" s="573"/>
      <c r="V58" s="590"/>
      <c r="W58" s="611"/>
    </row>
    <row r="59" spans="1:23" x14ac:dyDescent="0.25">
      <c r="A59" s="1330"/>
      <c r="B59" s="1362"/>
      <c r="C59" s="1358"/>
      <c r="D59" s="1335"/>
      <c r="E59" s="1341"/>
      <c r="F59" s="1341"/>
      <c r="G59" s="1337"/>
      <c r="H59" s="1335"/>
      <c r="I59" s="1360"/>
      <c r="J59" s="1335"/>
      <c r="K59" s="579" t="s">
        <v>2151</v>
      </c>
      <c r="L59" s="589"/>
      <c r="M59" s="573"/>
      <c r="N59" s="574"/>
      <c r="O59" s="573"/>
      <c r="P59" s="573"/>
      <c r="Q59" s="574"/>
      <c r="R59" s="573"/>
      <c r="S59" s="573"/>
      <c r="T59" s="574"/>
      <c r="U59" s="573"/>
      <c r="V59" s="577"/>
      <c r="W59" s="592"/>
    </row>
    <row r="60" spans="1:23" ht="84" customHeight="1" x14ac:dyDescent="0.25">
      <c r="A60" s="1329">
        <v>31</v>
      </c>
      <c r="B60" s="1375" t="s">
        <v>2214</v>
      </c>
      <c r="C60" s="1377" t="s">
        <v>885</v>
      </c>
      <c r="D60" s="1271" t="s">
        <v>2156</v>
      </c>
      <c r="E60" s="1271" t="s">
        <v>2161</v>
      </c>
      <c r="F60" s="1340" t="s">
        <v>2192</v>
      </c>
      <c r="G60" s="1342" t="s">
        <v>2037</v>
      </c>
      <c r="H60" s="1271" t="s">
        <v>2159</v>
      </c>
      <c r="I60" s="1359" t="s">
        <v>2102</v>
      </c>
      <c r="J60" s="1271" t="s">
        <v>2149</v>
      </c>
      <c r="K60" s="584" t="s">
        <v>2150</v>
      </c>
      <c r="L60" s="589"/>
      <c r="M60" s="590">
        <v>1</v>
      </c>
      <c r="N60" s="591">
        <v>1</v>
      </c>
      <c r="O60" s="590">
        <v>1</v>
      </c>
      <c r="P60" s="590">
        <v>1</v>
      </c>
      <c r="Q60" s="597">
        <v>1</v>
      </c>
      <c r="R60" s="600">
        <v>1</v>
      </c>
      <c r="S60" s="600">
        <v>1</v>
      </c>
      <c r="T60" s="597">
        <v>1</v>
      </c>
      <c r="U60" s="590">
        <v>1</v>
      </c>
      <c r="V60" s="613">
        <v>1</v>
      </c>
      <c r="W60" s="595">
        <v>1</v>
      </c>
    </row>
    <row r="61" spans="1:23" ht="77.25" customHeight="1" thickBot="1" x14ac:dyDescent="0.3">
      <c r="A61" s="1330"/>
      <c r="B61" s="1376"/>
      <c r="C61" s="1377"/>
      <c r="D61" s="1335"/>
      <c r="E61" s="1335"/>
      <c r="F61" s="1341"/>
      <c r="G61" s="1337"/>
      <c r="H61" s="1335"/>
      <c r="I61" s="1360"/>
      <c r="J61" s="1335"/>
      <c r="K61" s="579" t="s">
        <v>2151</v>
      </c>
      <c r="L61" s="614"/>
      <c r="M61" s="615">
        <v>1</v>
      </c>
      <c r="N61" s="616">
        <v>1</v>
      </c>
      <c r="O61" s="615">
        <v>1</v>
      </c>
      <c r="P61" s="615">
        <v>1</v>
      </c>
      <c r="Q61" s="616">
        <v>1</v>
      </c>
      <c r="R61" s="615">
        <v>1</v>
      </c>
      <c r="S61" s="615"/>
      <c r="T61" s="616"/>
      <c r="U61" s="615"/>
      <c r="V61" s="617"/>
      <c r="W61" s="618"/>
    </row>
    <row r="62" spans="1:23" x14ac:dyDescent="0.25">
      <c r="A62" s="619" t="s">
        <v>885</v>
      </c>
      <c r="B62" s="238" t="s">
        <v>2000</v>
      </c>
      <c r="C62" s="238" t="s">
        <v>885</v>
      </c>
      <c r="D62" s="238" t="s">
        <v>885</v>
      </c>
      <c r="E62" s="238" t="s">
        <v>885</v>
      </c>
      <c r="F62" s="620" t="s">
        <v>885</v>
      </c>
      <c r="G62" s="238" t="s">
        <v>885</v>
      </c>
      <c r="H62" s="238" t="s">
        <v>885</v>
      </c>
      <c r="I62" s="238" t="s">
        <v>885</v>
      </c>
      <c r="J62" s="238" t="s">
        <v>885</v>
      </c>
      <c r="K62" s="238" t="s">
        <v>885</v>
      </c>
      <c r="L62" s="621">
        <f>SUM(L6,L8,L10,L12,L14,L16,L18,L20,L22,L24,L26,L28,L30,L32,L34,L36,L38,L40,L42,L44,L46,L48,L50,L52,L54,L56,L58,L60,)</f>
        <v>2</v>
      </c>
      <c r="M62" s="621">
        <f t="shared" ref="M62:W62" si="0">SUM(M6,M8,M10,M12,M14,M16,M18,M20,M22,M24,M26,M28,M30,M32,M34,M36,M38,M40,M42,M44,M46,M48,M50,M52,M54,M56,M58,M60,)</f>
        <v>2</v>
      </c>
      <c r="N62" s="621">
        <f t="shared" si="0"/>
        <v>1</v>
      </c>
      <c r="O62" s="621">
        <f t="shared" si="0"/>
        <v>1</v>
      </c>
      <c r="P62" s="621">
        <f t="shared" si="0"/>
        <v>4</v>
      </c>
      <c r="Q62" s="621">
        <f t="shared" si="0"/>
        <v>6</v>
      </c>
      <c r="R62" s="621">
        <f t="shared" si="0"/>
        <v>8</v>
      </c>
      <c r="S62" s="621">
        <f t="shared" si="0"/>
        <v>5</v>
      </c>
      <c r="T62" s="621">
        <f t="shared" si="0"/>
        <v>4</v>
      </c>
      <c r="U62" s="621">
        <f t="shared" si="0"/>
        <v>3</v>
      </c>
      <c r="V62" s="621">
        <f t="shared" si="0"/>
        <v>2</v>
      </c>
      <c r="W62" s="621">
        <f t="shared" si="0"/>
        <v>2</v>
      </c>
    </row>
    <row r="63" spans="1:23" x14ac:dyDescent="0.25">
      <c r="A63" s="1369" t="s">
        <v>2215</v>
      </c>
      <c r="B63" s="1370"/>
      <c r="C63" s="1370"/>
      <c r="D63" s="1370"/>
      <c r="E63" s="1370"/>
      <c r="F63" s="1370"/>
      <c r="G63" s="1370"/>
      <c r="H63" s="1370"/>
      <c r="I63" s="1370"/>
      <c r="J63" s="1370"/>
      <c r="K63" s="1370"/>
      <c r="L63" s="621">
        <f>SUM(L7,L9,L11,L13,L15,L17,L19,L21,L23,L25,L27,L29,L31,L33,L35,L37,L39,L41,L43,L45,L47,L49,L51,L53,L55,L57,L59,L61)</f>
        <v>2</v>
      </c>
      <c r="M63" s="621">
        <f>SUM(M7,M9,M11,M13,M15,M17,M19,M21,M23,M25,M27,M29,M31,M33,M35,M37,M39,M41,M43,M45,M47,M49,M51,M53,M55,M57,M59,M61)</f>
        <v>2</v>
      </c>
      <c r="N63" s="621">
        <f t="shared" ref="N63:W63" si="1">SUM(N7,N9,N11,N13,N15,N17,N19,N21,N23,N25,N27,N29,N31,N33,N35,N37,N39,N41,N43,N45,N47,N49,N51,N53,N55,N57,N59,N61)</f>
        <v>1</v>
      </c>
      <c r="O63" s="621">
        <f t="shared" si="1"/>
        <v>1</v>
      </c>
      <c r="P63" s="621">
        <f t="shared" si="1"/>
        <v>4</v>
      </c>
      <c r="Q63" s="621">
        <f t="shared" si="1"/>
        <v>5</v>
      </c>
      <c r="R63" s="621">
        <f t="shared" si="1"/>
        <v>4</v>
      </c>
      <c r="S63" s="621">
        <f t="shared" si="1"/>
        <v>0</v>
      </c>
      <c r="T63" s="621">
        <f t="shared" si="1"/>
        <v>0</v>
      </c>
      <c r="U63" s="621">
        <f t="shared" si="1"/>
        <v>0</v>
      </c>
      <c r="V63" s="621">
        <f t="shared" si="1"/>
        <v>0</v>
      </c>
      <c r="W63" s="621">
        <f t="shared" si="1"/>
        <v>0</v>
      </c>
    </row>
    <row r="64" spans="1:23" ht="15.75" thickBot="1" x14ac:dyDescent="0.3">
      <c r="A64" s="1369" t="s">
        <v>2002</v>
      </c>
      <c r="B64" s="1370"/>
      <c r="C64" s="1370"/>
      <c r="D64" s="1370"/>
      <c r="E64" s="1370"/>
      <c r="F64" s="1370"/>
      <c r="G64" s="1370"/>
      <c r="H64" s="1370"/>
      <c r="I64" s="1370"/>
      <c r="J64" s="1370"/>
      <c r="K64" s="1370"/>
      <c r="L64" s="621">
        <f>(L62-L63)</f>
        <v>0</v>
      </c>
      <c r="M64" s="621">
        <f t="shared" ref="M64:W64" si="2">(M62-M63)</f>
        <v>0</v>
      </c>
      <c r="N64" s="621">
        <f t="shared" si="2"/>
        <v>0</v>
      </c>
      <c r="O64" s="621">
        <f t="shared" si="2"/>
        <v>0</v>
      </c>
      <c r="P64" s="621">
        <f t="shared" si="2"/>
        <v>0</v>
      </c>
      <c r="Q64" s="621">
        <f t="shared" si="2"/>
        <v>1</v>
      </c>
      <c r="R64" s="621">
        <f t="shared" si="2"/>
        <v>4</v>
      </c>
      <c r="S64" s="621">
        <f t="shared" si="2"/>
        <v>5</v>
      </c>
      <c r="T64" s="621">
        <f t="shared" si="2"/>
        <v>4</v>
      </c>
      <c r="U64" s="621">
        <f t="shared" si="2"/>
        <v>3</v>
      </c>
      <c r="V64" s="621">
        <f t="shared" si="2"/>
        <v>2</v>
      </c>
      <c r="W64" s="621">
        <f t="shared" si="2"/>
        <v>2</v>
      </c>
    </row>
    <row r="65" spans="1:23" ht="15.75" thickBot="1" x14ac:dyDescent="0.3">
      <c r="A65" s="1371" t="s">
        <v>2216</v>
      </c>
      <c r="B65" s="1371"/>
      <c r="C65" s="1371"/>
      <c r="D65" s="1371"/>
      <c r="E65" s="1371"/>
      <c r="F65" s="1371"/>
      <c r="G65" s="1371"/>
      <c r="H65" s="1371"/>
      <c r="I65" s="1371"/>
      <c r="J65" s="1371"/>
      <c r="K65" s="1371"/>
      <c r="L65" s="1372">
        <f>SUM(L63:N63)</f>
        <v>5</v>
      </c>
      <c r="M65" s="1373"/>
      <c r="N65" s="1374"/>
      <c r="O65" s="1372">
        <f>SUM(O63:Q63)</f>
        <v>10</v>
      </c>
      <c r="P65" s="1373"/>
      <c r="Q65" s="1374"/>
      <c r="R65" s="1372">
        <f>SUM(R63:T63)</f>
        <v>4</v>
      </c>
      <c r="S65" s="1373"/>
      <c r="T65" s="1374"/>
      <c r="U65" s="1372">
        <f>SUM(U63:W63)</f>
        <v>0</v>
      </c>
      <c r="V65" s="1373"/>
      <c r="W65" s="1374"/>
    </row>
    <row r="66" spans="1:23" ht="15.75" thickBot="1" x14ac:dyDescent="0.3">
      <c r="A66" s="1368" t="s">
        <v>2217</v>
      </c>
      <c r="B66" s="1368"/>
      <c r="C66" s="1368"/>
      <c r="D66" s="1368"/>
      <c r="E66" s="1368"/>
      <c r="F66" s="1368"/>
      <c r="G66" s="1368"/>
      <c r="H66" s="1368"/>
      <c r="I66" s="1368"/>
      <c r="J66" s="1368"/>
      <c r="K66" s="1368"/>
      <c r="L66" s="622" t="s">
        <v>885</v>
      </c>
      <c r="M66" s="623" t="s">
        <v>885</v>
      </c>
      <c r="N66" s="624">
        <f>(L63+M63+N63)/(L62+M62+N62)*100</f>
        <v>100</v>
      </c>
      <c r="O66" s="623" t="s">
        <v>885</v>
      </c>
      <c r="P66" s="623" t="s">
        <v>885</v>
      </c>
      <c r="Q66" s="624">
        <f>(O63+P63+Q63)/(O62+P62+Q62)*100</f>
        <v>90.909090909090907</v>
      </c>
      <c r="R66" s="622" t="s">
        <v>885</v>
      </c>
      <c r="S66" s="623" t="s">
        <v>885</v>
      </c>
      <c r="T66" s="624">
        <f>(R63+S63+T63)/(R62+S62+T62)*100</f>
        <v>23.52941176470588</v>
      </c>
      <c r="U66" s="623" t="s">
        <v>885</v>
      </c>
      <c r="V66" s="623" t="s">
        <v>885</v>
      </c>
      <c r="W66" s="624">
        <f>(U63+V63+W63)/(U62+V62+W62)*100</f>
        <v>0</v>
      </c>
    </row>
  </sheetData>
  <mergeCells count="293">
    <mergeCell ref="O65:Q65"/>
    <mergeCell ref="R65:T65"/>
    <mergeCell ref="U65:W65"/>
    <mergeCell ref="F60:F61"/>
    <mergeCell ref="G60:G61"/>
    <mergeCell ref="H60:H61"/>
    <mergeCell ref="I60:I61"/>
    <mergeCell ref="J60:J61"/>
    <mergeCell ref="A63:K63"/>
    <mergeCell ref="A60:A61"/>
    <mergeCell ref="B60:B61"/>
    <mergeCell ref="C60:C61"/>
    <mergeCell ref="D60:D61"/>
    <mergeCell ref="E60:E61"/>
    <mergeCell ref="A66:K66"/>
    <mergeCell ref="A64:K64"/>
    <mergeCell ref="A65:K65"/>
    <mergeCell ref="L65:N65"/>
    <mergeCell ref="J56:J57"/>
    <mergeCell ref="A58:A59"/>
    <mergeCell ref="B58:B59"/>
    <mergeCell ref="C58:C59"/>
    <mergeCell ref="D58:D59"/>
    <mergeCell ref="E58:E59"/>
    <mergeCell ref="F58:F59"/>
    <mergeCell ref="G58:G59"/>
    <mergeCell ref="H58:H59"/>
    <mergeCell ref="I58:I59"/>
    <mergeCell ref="J58:J59"/>
    <mergeCell ref="A56:A57"/>
    <mergeCell ref="B56:B57"/>
    <mergeCell ref="C56:C57"/>
    <mergeCell ref="D56:D57"/>
    <mergeCell ref="E56:E57"/>
    <mergeCell ref="F56:F57"/>
    <mergeCell ref="G56:G57"/>
    <mergeCell ref="H56:H57"/>
    <mergeCell ref="I56:I57"/>
    <mergeCell ref="J52:J53"/>
    <mergeCell ref="A54:A55"/>
    <mergeCell ref="B54:B55"/>
    <mergeCell ref="C54:C55"/>
    <mergeCell ref="D54:D55"/>
    <mergeCell ref="E54:E55"/>
    <mergeCell ref="F54:F55"/>
    <mergeCell ref="G54:G55"/>
    <mergeCell ref="H54:H55"/>
    <mergeCell ref="I54:I55"/>
    <mergeCell ref="J54:J55"/>
    <mergeCell ref="A52:A53"/>
    <mergeCell ref="B52:B53"/>
    <mergeCell ref="C52:C53"/>
    <mergeCell ref="D52:D53"/>
    <mergeCell ref="E52:E53"/>
    <mergeCell ref="F52:F53"/>
    <mergeCell ref="G52:G53"/>
    <mergeCell ref="H52:H53"/>
    <mergeCell ref="I52:I53"/>
    <mergeCell ref="J48:J49"/>
    <mergeCell ref="A50:A51"/>
    <mergeCell ref="B50:B51"/>
    <mergeCell ref="C50:C51"/>
    <mergeCell ref="D50:D51"/>
    <mergeCell ref="E50:E51"/>
    <mergeCell ref="F50:F51"/>
    <mergeCell ref="G50:G51"/>
    <mergeCell ref="H50:H51"/>
    <mergeCell ref="I50:I51"/>
    <mergeCell ref="J50:J51"/>
    <mergeCell ref="A48:A49"/>
    <mergeCell ref="B48:B49"/>
    <mergeCell ref="C48:C49"/>
    <mergeCell ref="D48:D49"/>
    <mergeCell ref="E48:E49"/>
    <mergeCell ref="F48:F49"/>
    <mergeCell ref="G48:G49"/>
    <mergeCell ref="H48:H49"/>
    <mergeCell ref="I48:I49"/>
    <mergeCell ref="J44:J45"/>
    <mergeCell ref="A46:A47"/>
    <mergeCell ref="B46:B47"/>
    <mergeCell ref="C46:C47"/>
    <mergeCell ref="D46:D47"/>
    <mergeCell ref="E46:E47"/>
    <mergeCell ref="F46:F47"/>
    <mergeCell ref="G46:G47"/>
    <mergeCell ref="H46:H47"/>
    <mergeCell ref="I46:I47"/>
    <mergeCell ref="J46:J47"/>
    <mergeCell ref="A44:A45"/>
    <mergeCell ref="B44:B45"/>
    <mergeCell ref="C44:C45"/>
    <mergeCell ref="D44:D45"/>
    <mergeCell ref="E44:E45"/>
    <mergeCell ref="F44:F45"/>
    <mergeCell ref="G44:G45"/>
    <mergeCell ref="H44:H45"/>
    <mergeCell ref="I44:I45"/>
    <mergeCell ref="J40:J41"/>
    <mergeCell ref="A42:A43"/>
    <mergeCell ref="B42:B43"/>
    <mergeCell ref="C42:C43"/>
    <mergeCell ref="D42:D43"/>
    <mergeCell ref="E42:E43"/>
    <mergeCell ref="F42:F43"/>
    <mergeCell ref="G42:G43"/>
    <mergeCell ref="H42:H43"/>
    <mergeCell ref="I42:I43"/>
    <mergeCell ref="J42:J43"/>
    <mergeCell ref="A40:A41"/>
    <mergeCell ref="B40:B41"/>
    <mergeCell ref="C40:C41"/>
    <mergeCell ref="D40:D41"/>
    <mergeCell ref="E40:E41"/>
    <mergeCell ref="F40:F41"/>
    <mergeCell ref="G40:G41"/>
    <mergeCell ref="H40:H41"/>
    <mergeCell ref="I40:I41"/>
    <mergeCell ref="J36:J37"/>
    <mergeCell ref="A38:A39"/>
    <mergeCell ref="B38:B39"/>
    <mergeCell ref="C38:C39"/>
    <mergeCell ref="D38:D39"/>
    <mergeCell ref="E38:E39"/>
    <mergeCell ref="F38:F39"/>
    <mergeCell ref="G38:G39"/>
    <mergeCell ref="H38:H39"/>
    <mergeCell ref="I38:I39"/>
    <mergeCell ref="J38:J39"/>
    <mergeCell ref="A36:A37"/>
    <mergeCell ref="B36:B37"/>
    <mergeCell ref="C36:C37"/>
    <mergeCell ref="D36:D37"/>
    <mergeCell ref="E36:E37"/>
    <mergeCell ref="F36:F37"/>
    <mergeCell ref="G36:G37"/>
    <mergeCell ref="H36:H37"/>
    <mergeCell ref="I36:I37"/>
    <mergeCell ref="J32:J33"/>
    <mergeCell ref="A34:A35"/>
    <mergeCell ref="B34:B35"/>
    <mergeCell ref="C34:C35"/>
    <mergeCell ref="D34:D35"/>
    <mergeCell ref="E34:E35"/>
    <mergeCell ref="F34:F35"/>
    <mergeCell ref="G34:G35"/>
    <mergeCell ref="H34:H35"/>
    <mergeCell ref="I34:I35"/>
    <mergeCell ref="J34:J35"/>
    <mergeCell ref="A32:A33"/>
    <mergeCell ref="B32:B33"/>
    <mergeCell ref="C32:C33"/>
    <mergeCell ref="D32:D33"/>
    <mergeCell ref="E32:E33"/>
    <mergeCell ref="F32:F33"/>
    <mergeCell ref="G32:G33"/>
    <mergeCell ref="H32:H33"/>
    <mergeCell ref="I32:I33"/>
    <mergeCell ref="J28:J29"/>
    <mergeCell ref="A30:A31"/>
    <mergeCell ref="B30:B31"/>
    <mergeCell ref="C30:C31"/>
    <mergeCell ref="D30:D31"/>
    <mergeCell ref="E30:E31"/>
    <mergeCell ref="F30:F31"/>
    <mergeCell ref="G30:G31"/>
    <mergeCell ref="H30:H31"/>
    <mergeCell ref="I30:I31"/>
    <mergeCell ref="J30:J31"/>
    <mergeCell ref="A28:A29"/>
    <mergeCell ref="B28:B29"/>
    <mergeCell ref="C28:C29"/>
    <mergeCell ref="D28:D29"/>
    <mergeCell ref="E28:E29"/>
    <mergeCell ref="F28:F29"/>
    <mergeCell ref="G28:G29"/>
    <mergeCell ref="H28:H29"/>
    <mergeCell ref="I28:I29"/>
    <mergeCell ref="J24:J25"/>
    <mergeCell ref="A26:A27"/>
    <mergeCell ref="B26:B27"/>
    <mergeCell ref="C26:C27"/>
    <mergeCell ref="D26:D27"/>
    <mergeCell ref="E26:E27"/>
    <mergeCell ref="F26:F27"/>
    <mergeCell ref="G26:G27"/>
    <mergeCell ref="H26:H27"/>
    <mergeCell ref="I26:I27"/>
    <mergeCell ref="J26:J27"/>
    <mergeCell ref="A24:A25"/>
    <mergeCell ref="B24:B25"/>
    <mergeCell ref="C24:C25"/>
    <mergeCell ref="D24:D25"/>
    <mergeCell ref="E24:E25"/>
    <mergeCell ref="F24:F25"/>
    <mergeCell ref="G24:G25"/>
    <mergeCell ref="H24:H25"/>
    <mergeCell ref="I24:I25"/>
    <mergeCell ref="J20:J21"/>
    <mergeCell ref="A22:A23"/>
    <mergeCell ref="B22:B23"/>
    <mergeCell ref="C22:C23"/>
    <mergeCell ref="D22:D23"/>
    <mergeCell ref="E22:E23"/>
    <mergeCell ref="F22:F23"/>
    <mergeCell ref="G22:G23"/>
    <mergeCell ref="H22:H23"/>
    <mergeCell ref="I22:I23"/>
    <mergeCell ref="J22:J23"/>
    <mergeCell ref="A20:A21"/>
    <mergeCell ref="B20:B21"/>
    <mergeCell ref="C20:C21"/>
    <mergeCell ref="D20:D21"/>
    <mergeCell ref="E20:E21"/>
    <mergeCell ref="F20:F21"/>
    <mergeCell ref="G20:G21"/>
    <mergeCell ref="H20:H21"/>
    <mergeCell ref="I20:I21"/>
    <mergeCell ref="J16:J17"/>
    <mergeCell ref="A18:A19"/>
    <mergeCell ref="B18:B19"/>
    <mergeCell ref="C18:C19"/>
    <mergeCell ref="D18:D19"/>
    <mergeCell ref="E18:E19"/>
    <mergeCell ref="F18:F19"/>
    <mergeCell ref="G18:G19"/>
    <mergeCell ref="H18:H19"/>
    <mergeCell ref="I18:I19"/>
    <mergeCell ref="J18:J19"/>
    <mergeCell ref="A16:A17"/>
    <mergeCell ref="B16:B17"/>
    <mergeCell ref="C16:C17"/>
    <mergeCell ref="D16:D17"/>
    <mergeCell ref="E16:E17"/>
    <mergeCell ref="F16:F17"/>
    <mergeCell ref="G16:G17"/>
    <mergeCell ref="H16:H17"/>
    <mergeCell ref="I16:I17"/>
    <mergeCell ref="J12:J13"/>
    <mergeCell ref="A14:A15"/>
    <mergeCell ref="B14:B15"/>
    <mergeCell ref="C14:C15"/>
    <mergeCell ref="D14:D15"/>
    <mergeCell ref="E14:E15"/>
    <mergeCell ref="F14:F15"/>
    <mergeCell ref="G14:G15"/>
    <mergeCell ref="H14:H15"/>
    <mergeCell ref="I14:I15"/>
    <mergeCell ref="J14:J15"/>
    <mergeCell ref="A12:A13"/>
    <mergeCell ref="B12:B13"/>
    <mergeCell ref="C12:C13"/>
    <mergeCell ref="D12:D13"/>
    <mergeCell ref="E12:E13"/>
    <mergeCell ref="F12:F13"/>
    <mergeCell ref="G12:G13"/>
    <mergeCell ref="H12:H13"/>
    <mergeCell ref="I12:I13"/>
    <mergeCell ref="J8:J9"/>
    <mergeCell ref="A10:A11"/>
    <mergeCell ref="B10:B11"/>
    <mergeCell ref="C10:C11"/>
    <mergeCell ref="D10:D11"/>
    <mergeCell ref="E10:E11"/>
    <mergeCell ref="F10:F11"/>
    <mergeCell ref="G10:G11"/>
    <mergeCell ref="H10:H11"/>
    <mergeCell ref="I10:I11"/>
    <mergeCell ref="J10:J11"/>
    <mergeCell ref="A8:A9"/>
    <mergeCell ref="B8:B9"/>
    <mergeCell ref="C8:C9"/>
    <mergeCell ref="D8:D9"/>
    <mergeCell ref="E8:E9"/>
    <mergeCell ref="F8:F9"/>
    <mergeCell ref="G8:G9"/>
    <mergeCell ref="H8:H9"/>
    <mergeCell ref="I8:I9"/>
    <mergeCell ref="A1:B3"/>
    <mergeCell ref="H1:W1"/>
    <mergeCell ref="H2:W3"/>
    <mergeCell ref="A4:B4"/>
    <mergeCell ref="L4:W4"/>
    <mergeCell ref="A6:A7"/>
    <mergeCell ref="B6:B7"/>
    <mergeCell ref="C6:C7"/>
    <mergeCell ref="D6:D7"/>
    <mergeCell ref="E6:E7"/>
    <mergeCell ref="F6:F7"/>
    <mergeCell ref="G6:G7"/>
    <mergeCell ref="H6:H7"/>
    <mergeCell ref="I6:I7"/>
    <mergeCell ref="J6:J7"/>
  </mergeCells>
  <conditionalFormatting sqref="L6:W6 L8:W8 L10:W10 L12:W12 L14:W14 L16:W16 L18:W18 P19:P24 L20:O20 Q20:W20 L22:O22 Q22:W22 L24:O24 Q24:W24 L26:W26 L28:W28 L30:W30 L32:W32 L34:W34 L36:W36 L38:W38 L40:W40 L42:W42 L44:W44 L46:W46 L48:W48 L50:W50 L52:W52 L54:W54 L56:W56 L58:W58 L60:W60">
    <cfRule type="containsText" dxfId="4" priority="2" operator="containsText" text="1">
      <formula>NOT(ISERROR(SEARCH("1",L6)))</formula>
    </cfRule>
  </conditionalFormatting>
  <conditionalFormatting sqref="L7:W7 L9:W9 L11:W11 L13:W13 L15:W15 L17:W17 L19:O19 Q19:W19 L21:O21 Q21:W21 L23:O23 Q23:W23 L25:W25 L27:W27 L29:W29 L31:W31 L33:W33 L35:W35 L37:W37 L39:W39 L41:W41 L43:W43 L45:W45 L47:W47 L49:W49 L51:W51 L53:W53 L55:W55 L57:W57 L59:W59 L61:W61">
    <cfRule type="containsText" dxfId="3" priority="1" operator="containsText" text="1">
      <formula>NOT(ISERROR(SEARCH("1",L7)))</formula>
    </cfRule>
    <cfRule type="containsText" dxfId="2" priority="3" operator="containsText" text="1">
      <formula>NOT(ISERROR(SEARCH("1",L7)))</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EE44A87CFA3384EA3CFE6C53C4846A4" ma:contentTypeVersion="18" ma:contentTypeDescription="Crear nuevo documento." ma:contentTypeScope="" ma:versionID="3941069141c9dc9b6963988fd4ee9e4a">
  <xsd:schema xmlns:xsd="http://www.w3.org/2001/XMLSchema" xmlns:xs="http://www.w3.org/2001/XMLSchema" xmlns:p="http://schemas.microsoft.com/office/2006/metadata/properties" xmlns:ns3="701aa472-67d5-4283-9b64-4e597cda2263" xmlns:ns4="460af839-bcb3-4284-9db7-837e28d06237" targetNamespace="http://schemas.microsoft.com/office/2006/metadata/properties" ma:root="true" ma:fieldsID="f72de971567c07b023a0aadb7461612e" ns3:_="" ns4:_="">
    <xsd:import namespace="701aa472-67d5-4283-9b64-4e597cda2263"/>
    <xsd:import namespace="460af839-bcb3-4284-9db7-837e28d06237"/>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element ref="ns4:SharedWithUsers" minOccurs="0"/>
                <xsd:element ref="ns4:SharedWithDetails" minOccurs="0"/>
                <xsd:element ref="ns4:SharingHintHash"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1aa472-67d5-4283-9b64-4e597cda22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60af839-bcb3-4284-9db7-837e28d06237"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SharingHintHash" ma:index="20"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701aa472-67d5-4283-9b64-4e597cda2263" xsi:nil="true"/>
  </documentManagement>
</p:properties>
</file>

<file path=customXml/itemProps1.xml><?xml version="1.0" encoding="utf-8"?>
<ds:datastoreItem xmlns:ds="http://schemas.openxmlformats.org/officeDocument/2006/customXml" ds:itemID="{96B16065-B923-47B6-BD91-CF310D6D00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01aa472-67d5-4283-9b64-4e597cda2263"/>
    <ds:schemaRef ds:uri="460af839-bcb3-4284-9db7-837e28d062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ACBB9DC-3C02-4F19-876C-1887C2BD331E}">
  <ds:schemaRefs>
    <ds:schemaRef ds:uri="http://schemas.microsoft.com/sharepoint/v3/contenttype/forms"/>
  </ds:schemaRefs>
</ds:datastoreItem>
</file>

<file path=customXml/itemProps3.xml><?xml version="1.0" encoding="utf-8"?>
<ds:datastoreItem xmlns:ds="http://schemas.openxmlformats.org/officeDocument/2006/customXml" ds:itemID="{298820B6-E6B2-4A1D-A31D-E7171189E7D6}">
  <ds:schemaRefs>
    <ds:schemaRef ds:uri="http://schemas.microsoft.com/office/2006/metadata/properties"/>
    <ds:schemaRef ds:uri="http://schemas.microsoft.com/office/infopath/2007/PartnerControls"/>
    <ds:schemaRef ds:uri="701aa472-67d5-4283-9b64-4e597cda226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Hoja1</vt:lpstr>
      <vt:lpstr>PAI 2024 Consolidado</vt:lpstr>
      <vt:lpstr>LISTAS</vt:lpstr>
      <vt:lpstr>PAVACANTES</vt:lpstr>
      <vt:lpstr>P.PREVISIÓN</vt:lpstr>
      <vt:lpstr>P.ESTRATEGICO</vt:lpstr>
      <vt:lpstr>P.BIENESTAR</vt:lpstr>
      <vt:lpstr>PIC</vt:lpstr>
      <vt:lpstr>PIC AJUSTADO</vt:lpstr>
      <vt:lpstr>SST</vt:lpstr>
      <vt:lpstr>Anexo_Gestión Conocimiento 2024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Familia</dc:creator>
  <cp:keywords/>
  <dc:description/>
  <cp:lastModifiedBy>Adriana Moreno Roncancio</cp:lastModifiedBy>
  <cp:revision/>
  <dcterms:created xsi:type="dcterms:W3CDTF">2023-08-24T21:06:44Z</dcterms:created>
  <dcterms:modified xsi:type="dcterms:W3CDTF">2025-09-22T15:03:28Z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0x010100BEE44A87CFA3384EA3CFE6C53C4846A4</vt:lpwstr>
  </property>
</Properties>
</file>